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360" windowWidth="21600" windowHeight="9630" activeTab="0"/>
  </bookViews>
  <sheets>
    <sheet name="Fig.  8.5-1 agents AT" sheetId="1" r:id="rId1"/>
    <sheet name=" Fig. 8.5-2 AT 2014 minist" sheetId="2" r:id="rId2"/>
    <sheet name="Fig. 8.5-3 AT 2013-14 minist" sheetId="3" r:id="rId3"/>
    <sheet name="Fig. 8.5-4 ATR 2014 ministères" sheetId="4" r:id="rId4"/>
    <sheet name="Figure 8.5-5 AT FPT" sheetId="5" r:id="rId5"/>
    <sheet name="Figure 8.5-6 AT FPT Type étab" sheetId="6" r:id="rId6"/>
    <sheet name=" Fig. 8.5-7 AT FPH" sheetId="7" r:id="rId7"/>
    <sheet name="Figure 8.5-8 AT FPH causes" sheetId="8" r:id="rId8"/>
    <sheet name="Figure 8.5-9 AT FPH métiers" sheetId="9" r:id="rId9"/>
    <sheet name="Figure 8.5-10 AT FPH Type étab" sheetId="10" r:id="rId10"/>
  </sheets>
  <definedNames/>
  <calcPr fullCalcOnLoad="1"/>
</workbook>
</file>

<file path=xl/sharedStrings.xml><?xml version="1.0" encoding="utf-8"?>
<sst xmlns="http://schemas.openxmlformats.org/spreadsheetml/2006/main" count="295" uniqueCount="137">
  <si>
    <t>Sans arrêt</t>
  </si>
  <si>
    <t>H</t>
  </si>
  <si>
    <t>F</t>
  </si>
  <si>
    <t>Avec arrêt</t>
  </si>
  <si>
    <t>Avec décès</t>
  </si>
  <si>
    <t>dont + de 3 jours</t>
  </si>
  <si>
    <t>DDI</t>
  </si>
  <si>
    <t>nd</t>
  </si>
  <si>
    <t>Taux de couverture</t>
  </si>
  <si>
    <t>Nombre d'AT ayant fait l'objet de plus de 3 jours d'arrêt ou ayant provoqué le décès</t>
  </si>
  <si>
    <t>Répartition par type d'arrêt</t>
  </si>
  <si>
    <t>Champ : Ministères.</t>
  </si>
  <si>
    <t>Répartition selon la gravité</t>
  </si>
  <si>
    <t>Figure 8.5-3 : Nombre d'accidents du travail notifiés ayant fait l'objet de plus de 3 jours d'arrêt ou ayant provoqué le décès selon les ministères</t>
  </si>
  <si>
    <t>Culture et Communication</t>
  </si>
  <si>
    <t>Intérieur - gendarmerie</t>
  </si>
  <si>
    <t>Intérieur - secrétariat général</t>
  </si>
  <si>
    <t>(en %)</t>
  </si>
  <si>
    <t>Fonction publique territoriale</t>
  </si>
  <si>
    <t>Fontion publique hospitalière</t>
  </si>
  <si>
    <t>Secteur privé</t>
  </si>
  <si>
    <t>Administrative</t>
  </si>
  <si>
    <t>Animation</t>
  </si>
  <si>
    <t>Autres cas hors filière</t>
  </si>
  <si>
    <t>Culturelle</t>
  </si>
  <si>
    <t>Incendie et secours</t>
  </si>
  <si>
    <t>Police municipale</t>
  </si>
  <si>
    <t>Sociale</t>
  </si>
  <si>
    <t>Sportive</t>
  </si>
  <si>
    <t>Technique</t>
  </si>
  <si>
    <t>Total</t>
  </si>
  <si>
    <t>Part des agents ayant eu…</t>
  </si>
  <si>
    <t>un accident</t>
  </si>
  <si>
    <t>deux accidents</t>
  </si>
  <si>
    <t>trois accidents ou plus</t>
  </si>
  <si>
    <t>au moins un accident dans l'année</t>
  </si>
  <si>
    <t>Champ : France, salariés.</t>
  </si>
  <si>
    <t>Lecture : 8,5 % des agents de la FPT ont déclaré avoir subi au moins un accident du travail dans l'année : 6,8 % ont déclaré un accident, 1,2 % deux accidents et 0,5 % trois accidents ou plus.</t>
  </si>
  <si>
    <t>Note : Accidents du travail déclarés, survenus dans les 12 mois précédant la collecte.</t>
  </si>
  <si>
    <t>Répartition selon le sexe</t>
  </si>
  <si>
    <t>Figure 8.5-1 : Part des agents ayant eu un accident du travail dans les trois versants de la fonction publique et dans le secteur privé en 2012</t>
  </si>
  <si>
    <t>Chute de plain-pied</t>
  </si>
  <si>
    <t>Effort lié à la manutention de malades</t>
  </si>
  <si>
    <t>Agent de bio-nettoyage</t>
  </si>
  <si>
    <t>Part des établissements de santé qui déclarent la cause parmi les plus fréquentes</t>
  </si>
  <si>
    <t>Part des établissements de santé qui déclarent le métier parmi les plus touchés</t>
  </si>
  <si>
    <t>ETP de l'échantillon</t>
  </si>
  <si>
    <t>Nombre d'accidents de travail (hors accidents de trajet) et avec arrêt de travail recensés</t>
  </si>
  <si>
    <t>Nombre d'accidents du travail pour 100 ETP</t>
  </si>
  <si>
    <t>Figure 8.5-5 : Répartition du nombre d'accidents du travail pour 100 agents selon la filière dans les collectivités territoriales au 31 décembre 2013</t>
  </si>
  <si>
    <t>Source : DGCL, synthèse nationale des rapports au CTP sur l'état des collectivités territoriales au 31 décembre 2013.</t>
  </si>
  <si>
    <t>Répartition des accidents de travail</t>
  </si>
  <si>
    <t>Part avec arrêt</t>
  </si>
  <si>
    <t>Moyenne jours d'arrêt</t>
  </si>
  <si>
    <t>Autres collectivités hospitalières</t>
  </si>
  <si>
    <t>Centres hospitaliers généraux</t>
  </si>
  <si>
    <t>Centres hospitaliers régionaux</t>
  </si>
  <si>
    <t>Centres hospitaliers spécialisés</t>
  </si>
  <si>
    <t>Hôpitaux locaux</t>
  </si>
  <si>
    <t>Ensemble</t>
  </si>
  <si>
    <t>Communauté de communes, de ville</t>
  </si>
  <si>
    <t>Communauté urbaine, district</t>
  </si>
  <si>
    <t>Commune</t>
  </si>
  <si>
    <t>CCAS</t>
  </si>
  <si>
    <t>Département</t>
  </si>
  <si>
    <t>OPH</t>
  </si>
  <si>
    <t>Région</t>
  </si>
  <si>
    <t>Syndicat</t>
  </si>
  <si>
    <t>Autre collectivité territoriale</t>
  </si>
  <si>
    <t>Note : Le taux de couverture représente la part des services du ministère couverts par ces réponses. Ces résultats excluent les accidents du trajet.</t>
  </si>
  <si>
    <t>Écologie, Développement durable et Énergie, et Logement, Égalité des territoires et Ruralité - Aviation civile</t>
  </si>
  <si>
    <r>
      <t xml:space="preserve">Enseignement supérieur et Recherche </t>
    </r>
    <r>
      <rPr>
        <vertAlign val="superscript"/>
        <sz val="9"/>
        <rFont val="Arial"/>
        <family val="2"/>
      </rPr>
      <t xml:space="preserve">(1) </t>
    </r>
  </si>
  <si>
    <t>(1) : Données révisées par la DGCL.</t>
  </si>
  <si>
    <t>Ensemble de la fonction publique</t>
  </si>
  <si>
    <t>Note : Le taux de couverture représente la part des services du ministère couverts par ces réponses.</t>
  </si>
  <si>
    <r>
      <t>Fonction publique de l'</t>
    </r>
    <r>
      <rPr>
        <sz val="8"/>
        <rFont val="Calibri"/>
        <family val="2"/>
      </rPr>
      <t>É</t>
    </r>
    <r>
      <rPr>
        <sz val="8"/>
        <rFont val="Arial"/>
        <family val="2"/>
      </rPr>
      <t>tat</t>
    </r>
  </si>
  <si>
    <r>
      <t>Conseil d'</t>
    </r>
    <r>
      <rPr>
        <sz val="9"/>
        <rFont val="Calibri"/>
        <family val="2"/>
      </rPr>
      <t>É</t>
    </r>
    <r>
      <rPr>
        <sz val="9"/>
        <rFont val="Arial"/>
        <family val="2"/>
      </rPr>
      <t>tat</t>
    </r>
  </si>
  <si>
    <r>
      <rPr>
        <sz val="10"/>
        <rFont val="Calibri"/>
        <family val="2"/>
      </rPr>
      <t>É</t>
    </r>
    <r>
      <rPr>
        <sz val="10"/>
        <rFont val="Arial"/>
        <family val="2"/>
      </rPr>
      <t>tablissements publics à caractère sanitaire ou social</t>
    </r>
  </si>
  <si>
    <t>Source : Enquête Conditions de travail 2013, Dares, DGAFP, Drees, Insee. Traitement Dares et DGAFP - Département des études, des statistiques et des systèmes d'information.</t>
  </si>
  <si>
    <r>
      <t>Affaires étrangères et Développement international</t>
    </r>
    <r>
      <rPr>
        <vertAlign val="superscript"/>
        <sz val="9"/>
        <rFont val="Arial"/>
        <family val="2"/>
      </rPr>
      <t>(1)</t>
    </r>
  </si>
  <si>
    <t>Finances et Comptes publics, Économie, Industrie et Numérique, et Décentralisation, Réforme de l'État et Fonction publique</t>
  </si>
  <si>
    <r>
      <t>Défense</t>
    </r>
    <r>
      <rPr>
        <vertAlign val="superscript"/>
        <sz val="9"/>
        <rFont val="Arial"/>
        <family val="2"/>
      </rPr>
      <t>(4)</t>
    </r>
  </si>
  <si>
    <r>
      <t>Écologie, Développement durable et Énergie, et Logement, Égalité des territoires et Ruralité - hors Aviation civile</t>
    </r>
    <r>
      <rPr>
        <vertAlign val="superscript"/>
        <sz val="9"/>
        <rFont val="Arial"/>
        <family val="2"/>
      </rPr>
      <t>(3)</t>
    </r>
  </si>
  <si>
    <r>
      <rPr>
        <sz val="9"/>
        <rFont val="Calibri"/>
        <family val="2"/>
      </rPr>
      <t>É</t>
    </r>
    <r>
      <rPr>
        <sz val="9"/>
        <rFont val="Arial"/>
        <family val="2"/>
      </rPr>
      <t>ducation nationale</t>
    </r>
    <r>
      <rPr>
        <vertAlign val="superscript"/>
        <sz val="9"/>
        <rFont val="Arial"/>
        <family val="2"/>
      </rPr>
      <t>(1)(2)</t>
    </r>
  </si>
  <si>
    <r>
      <t>Enseignement supérieur et Recherche</t>
    </r>
    <r>
      <rPr>
        <vertAlign val="superscript"/>
        <sz val="9"/>
        <rFont val="Arial"/>
        <family val="2"/>
      </rPr>
      <t xml:space="preserve">(1) </t>
    </r>
  </si>
  <si>
    <r>
      <t>Intérieur - police</t>
    </r>
    <r>
      <rPr>
        <vertAlign val="superscript"/>
        <sz val="9"/>
        <rFont val="Arial"/>
        <family val="2"/>
      </rPr>
      <t>(1)</t>
    </r>
  </si>
  <si>
    <r>
      <t>Justice</t>
    </r>
    <r>
      <rPr>
        <vertAlign val="superscript"/>
        <sz val="9"/>
        <rFont val="Arial"/>
        <family val="2"/>
      </rPr>
      <t>(1)</t>
    </r>
  </si>
  <si>
    <r>
      <t>Services du Premier ministre</t>
    </r>
    <r>
      <rPr>
        <vertAlign val="superscript"/>
        <sz val="9"/>
        <color indexed="8"/>
        <rFont val="Arial"/>
        <family val="2"/>
      </rPr>
      <t>(1)</t>
    </r>
  </si>
  <si>
    <r>
      <t>Ministères sociaux</t>
    </r>
    <r>
      <rPr>
        <vertAlign val="superscript"/>
        <sz val="9"/>
        <color indexed="8"/>
        <rFont val="Arial"/>
        <family val="2"/>
      </rPr>
      <t>(1)</t>
    </r>
  </si>
  <si>
    <t>(1) AT reconnus uniquement.</t>
  </si>
  <si>
    <t>(3) DDI inclus, hors EPA.</t>
  </si>
  <si>
    <t>(4) Hors personnel militaire.</t>
  </si>
  <si>
    <t>nd : données non disponibles, non communiquées ou manquantes</t>
  </si>
  <si>
    <t>Médico-sociale technique</t>
  </si>
  <si>
    <r>
      <t>Nombre d'accidents de service pour 100 agents</t>
    </r>
    <r>
      <rPr>
        <vertAlign val="superscript"/>
        <sz val="10"/>
        <rFont val="Arial"/>
        <family val="2"/>
      </rPr>
      <t>(1)</t>
    </r>
  </si>
  <si>
    <r>
      <t>Nombre d'accidents du trajet pour 100 agents</t>
    </r>
    <r>
      <rPr>
        <vertAlign val="superscript"/>
        <sz val="10"/>
        <rFont val="Arial"/>
        <family val="2"/>
      </rPr>
      <t>(1)</t>
    </r>
  </si>
  <si>
    <t>Métropole*</t>
  </si>
  <si>
    <t>Figure 8.5-2 : Répartition des accidents du travail notifiés en 2015  selon le sexe et la gravité par ministère</t>
  </si>
  <si>
    <t>Nombre d'accidents du travail notifiés en 2015</t>
  </si>
  <si>
    <t>56%*</t>
  </si>
  <si>
    <t>87%*</t>
  </si>
  <si>
    <t>*</t>
  </si>
  <si>
    <t>92%*</t>
  </si>
  <si>
    <t xml:space="preserve">* Taux de réponse manquant (remplacé par le taux de couverture global de l'enquête lorsqu'il était disponible). </t>
  </si>
  <si>
    <t>Nombre d'accidents du trajet notifiés en 2015</t>
  </si>
  <si>
    <r>
      <t>Source : Volet AT/MP, Bilan de l'application des dispositions relatives à l'hygiène, à la sécurité du travail et à la médecine du travail dans la fonction publique de l'</t>
    </r>
    <r>
      <rPr>
        <sz val="8"/>
        <rFont val="Calibri"/>
        <family val="2"/>
      </rPr>
      <t>É</t>
    </r>
    <r>
      <rPr>
        <sz val="8"/>
        <rFont val="Arial"/>
        <family val="2"/>
      </rPr>
      <t>tat en 2015. Traitement DGAFP - Département des études, des statistiques et des systèmes d'information.</t>
    </r>
  </si>
  <si>
    <r>
      <t>Source : Volet AT/MP, Bilan de l'application des dispositions relatives à l'hygiène, à la sécurité du travail et à la médecine du travail dans la fonction publique de l'</t>
    </r>
    <r>
      <rPr>
        <sz val="8"/>
        <rFont val="Calibri"/>
        <family val="2"/>
      </rPr>
      <t>É</t>
    </r>
    <r>
      <rPr>
        <i/>
        <sz val="8"/>
        <rFont val="Arial"/>
        <family val="2"/>
      </rPr>
      <t>tat en 2015. Traitement DGAFP - Département des études, des statistiques et des systèmes d'information.</t>
    </r>
  </si>
  <si>
    <t>Note : En 2015, 39 828 accidents du travail et 5 356 accidents du trajet d'agents de la FPT ont été recensés dans la BND.</t>
  </si>
  <si>
    <t>Figure 8.5-6 : Répartition des accidents de travail et de trajet selon le type de collectivité dans la fonction publique territoriale en 2015</t>
  </si>
  <si>
    <t>Figure 8.5-7 : Accidents du travail recensés dans la fonction publique hospitalière en 2015</t>
  </si>
  <si>
    <t>Source : DGOS et ATIH,  Analyse des bilans sociaux des établissements publics de santé à fin 2015.</t>
  </si>
  <si>
    <t>Champ : Agents travaillant dans 489 établissements publics de santé répondants.</t>
  </si>
  <si>
    <t>Figure 8.5-8 : Causes d'accidents du travail les plus fréquentes dans la fonction publique hospitalière en 2015</t>
  </si>
  <si>
    <t>Figure 8.5-9 : Métiers les plus touchés par les accidents du travail dans la fonction publique hospitalière en 2015</t>
  </si>
  <si>
    <t>Figure 8.5-10 : Répartition des accidents de travail et de trajet selon le type d'établissement de la fonction publique hospitalière en 2015</t>
  </si>
  <si>
    <t>Note : En 2015, 21 884 accidents du travail et 1 912 accidents du trajet d'agents de la FPH ont été recensés dans la BND.</t>
  </si>
  <si>
    <t>Agriculture, Agroalimentaire et Forêt/Enseignement privé agricole</t>
  </si>
  <si>
    <r>
      <t>Source : Volet AT/MP, Bilan de l'application des dispositions relatives à l'hygiène, à la sécurité du travail et à la médecine du travail dans la fonction publique de l'</t>
    </r>
    <r>
      <rPr>
        <i/>
        <sz val="8"/>
        <rFont val="Calibri"/>
        <family val="2"/>
      </rPr>
      <t>É</t>
    </r>
    <r>
      <rPr>
        <i/>
        <sz val="8"/>
        <rFont val="Arial"/>
        <family val="2"/>
      </rPr>
      <t>tat en 2015. Traitement DGAFP - Département des études, des statistiques et des systèmes d'information.</t>
    </r>
  </si>
  <si>
    <t>Figure 8.5-4 : Répartition des accidents du trajet notifiés en 2015 selon le sexe et la gravité par ministère</t>
  </si>
  <si>
    <t>Filière</t>
  </si>
  <si>
    <t>Répartition des accidents de trajet</t>
  </si>
  <si>
    <t>Sources : CNRACL, Fonds national de prévention, Banque nationale de données.</t>
  </si>
  <si>
    <r>
      <t>* Les EPCI (intercommunalités) d'au moins 400 000 habitants au sein d'une aire urbaine d'au moins 650 000 habitants ont été transformés en métropole par décret le 1</t>
    </r>
    <r>
      <rPr>
        <i/>
        <vertAlign val="superscript"/>
        <sz val="8"/>
        <rFont val="Arial"/>
        <family val="2"/>
      </rPr>
      <t>er</t>
    </r>
    <r>
      <rPr>
        <i/>
        <sz val="8"/>
        <rFont val="Arial"/>
        <family val="2"/>
      </rPr>
      <t xml:space="preserve"> janvier 2015.</t>
    </r>
  </si>
  <si>
    <t>Lecture : Sur un échantillon de 489 établissements composés de 549 875 ETP au total, 22 830 accidents de travail (hors accidents de trajet) et avec arrêt de travail ont été recensés soit 4,2 accidents du travail pour 100 ETP.</t>
  </si>
  <si>
    <t>Contact/Projection avec sang, urine, produit biologique, etc. sur peau lésée, muqueuses, yeux</t>
  </si>
  <si>
    <t>Aide-soignant€</t>
  </si>
  <si>
    <t>Infirmier(e) en soins généraux</t>
  </si>
  <si>
    <t>Centres de soins avec/sans hébergement</t>
  </si>
  <si>
    <t>Centres d'hébergement pour personnes âgées</t>
  </si>
  <si>
    <t>(2) Les agents contractuels recrutés sous contrat à durée déterminée supérieur ou égal à un an ou en contrat à durée indéterminée, à temps complet, relevant du budget de l’éducation nationale ont été intégrés dans les chiffres de l'enquête 2014.</t>
  </si>
  <si>
    <t>Lecture : Sur un périmètre couvrant 56 % des services du ministère de l'Agriculture, Agroalimentaire et Forêt, 318 accidents du travail ont été notifiés en 2014. Parmi ceux-ci, 53 % concernaient des femmes. Et parmi les accidents du travail qui concernaient les femmes dans ce même ministère, 26 % n'ont fait l'objet d'aucun arrêt de travail, 74 % en ont fait l'objet (51 % un arrêt de travail de plus de 3 jours), et 0 % ont donné lieu à un décès.</t>
  </si>
  <si>
    <r>
      <t>(2) Les agents contractuels recrutés sous contrat à durée déterminée supérieure ou égale à un an ou en contrat à durée indéterminée, à temps complet, relevant du budget de l’</t>
    </r>
    <r>
      <rPr>
        <sz val="8"/>
        <rFont val="Calibri"/>
        <family val="2"/>
      </rPr>
      <t>É</t>
    </r>
    <r>
      <rPr>
        <sz val="8"/>
        <rFont val="Arial"/>
        <family val="2"/>
      </rPr>
      <t>ducation nationale ont été intégrés dans les chiffres de l'enquête 2014.</t>
    </r>
  </si>
  <si>
    <t>Lecture : Sur un périmètre couvrant 56 % des services du ministère de l'Agriculture, Agroalimentaire et Forêt, 93 accidents du trajet ont été notifiés en 2014. Parmi ceux-ci, 63 % concernaient des femmes. Et parmi les accidents du trajet qui concernaient les femmes dans ce même ministère, 56 % n'ont fait l'objet d'aucun arrêt de travail, 44 % en ont fait l'objet (25 % un arrêt de travail de plus de 3 jours), et 0 % ont donné lieu à un décès.</t>
  </si>
  <si>
    <t>Champ : Fonctionnaires et contractuels sur emplois permanents employés dans les collectivités territoriales disposant d’un Comité technique paritaire propre (celles de plus de 50 agents) ou relevant du CTP d’un centre de gestion au 31 décembre 2013.</t>
  </si>
  <si>
    <r>
      <t xml:space="preserve">Champ : </t>
    </r>
    <r>
      <rPr>
        <sz val="8"/>
        <rFont val="Calibri"/>
        <family val="2"/>
      </rPr>
      <t>É</t>
    </r>
    <r>
      <rPr>
        <sz val="8"/>
        <rFont val="Arial"/>
        <family val="2"/>
      </rPr>
      <t>chantillon de 579 971 agents, représentant 40 % de la population des actifs territoriaux affiliés à la CNRACL.</t>
    </r>
  </si>
  <si>
    <r>
      <t xml:space="preserve">Champ : </t>
    </r>
    <r>
      <rPr>
        <sz val="8"/>
        <rFont val="Calibri"/>
        <family val="2"/>
      </rPr>
      <t>É</t>
    </r>
    <r>
      <rPr>
        <sz val="8"/>
        <rFont val="Arial"/>
        <family val="2"/>
      </rPr>
      <t>chantillon de 489 établissements publics de santé répondants.</t>
    </r>
  </si>
  <si>
    <r>
      <t xml:space="preserve">Champ : </t>
    </r>
    <r>
      <rPr>
        <sz val="8"/>
        <rFont val="Calibri"/>
        <family val="2"/>
      </rPr>
      <t>É</t>
    </r>
    <r>
      <rPr>
        <sz val="8"/>
        <rFont val="Arial"/>
        <family val="2"/>
      </rPr>
      <t>chantillon de 264 745 agents, représentant 28 % de la population des actifs hospitaliers affiliés à la CNRACL.</t>
    </r>
  </si>
</sst>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0000000"/>
    <numFmt numFmtId="166" formatCode="0.000000000"/>
    <numFmt numFmtId="167" formatCode="0.00000000"/>
    <numFmt numFmtId="168" formatCode="0.0000000"/>
    <numFmt numFmtId="169" formatCode="0.000000"/>
    <numFmt numFmtId="170" formatCode="0.00000"/>
    <numFmt numFmtId="171" formatCode="0.0000"/>
    <numFmt numFmtId="172" formatCode="0.000"/>
    <numFmt numFmtId="173" formatCode="0.0"/>
    <numFmt numFmtId="174" formatCode="&quot;Vrai&quot;;&quot;Vrai&quot;;&quot;Faux&quot;"/>
    <numFmt numFmtId="175" formatCode="&quot;Actif&quot;;&quot;Actif&quot;;&quot;Inactif&quot;"/>
    <numFmt numFmtId="176" formatCode="[$€-2]\ #,##0.00_);[Red]\([$€-2]\ #,##0.00\)"/>
    <numFmt numFmtId="177" formatCode="_-* #,##0.0\ _€_-;\-* #,##0.0\ _€_-;_-* &quot;-&quot;??\ _€_-;_-@_-"/>
    <numFmt numFmtId="178" formatCode="_-* #,##0\ _€_-;\-* #,##0\ _€_-;_-* &quot;-&quot;??\ _€_-;_-@_-"/>
    <numFmt numFmtId="179" formatCode="0.000%"/>
    <numFmt numFmtId="180" formatCode="0.0000%"/>
    <numFmt numFmtId="181" formatCode="0.00000%"/>
    <numFmt numFmtId="182" formatCode="0.000000%"/>
    <numFmt numFmtId="183" formatCode="0.0000000%"/>
    <numFmt numFmtId="184" formatCode="0.00000000%"/>
    <numFmt numFmtId="185" formatCode="0.000000000%"/>
    <numFmt numFmtId="186" formatCode="0.0000000000%"/>
    <numFmt numFmtId="187" formatCode="[$-40C]dddd\ d\ mmmm\ yyyy"/>
    <numFmt numFmtId="188" formatCode="0.00000000000%"/>
    <numFmt numFmtId="189" formatCode="0.000000000000%"/>
    <numFmt numFmtId="190" formatCode="0.0000000000000%"/>
    <numFmt numFmtId="191" formatCode="0.00000000000000%"/>
    <numFmt numFmtId="192" formatCode="0.000000000000000%"/>
    <numFmt numFmtId="193" formatCode="0.0000000000000000%"/>
    <numFmt numFmtId="194" formatCode="0.00000000000000000%"/>
    <numFmt numFmtId="195" formatCode="0.000000000000000000%"/>
    <numFmt numFmtId="196" formatCode="0.0000000000000000000%"/>
    <numFmt numFmtId="197" formatCode="0.00000000000000000000%"/>
  </numFmts>
  <fonts count="68">
    <font>
      <sz val="10"/>
      <name val="Arial"/>
      <family val="0"/>
    </font>
    <font>
      <sz val="9"/>
      <name val="Arial"/>
      <family val="2"/>
    </font>
    <font>
      <sz val="8"/>
      <name val="Arial"/>
      <family val="2"/>
    </font>
    <font>
      <b/>
      <sz val="10"/>
      <name val="Arial"/>
      <family val="2"/>
    </font>
    <font>
      <vertAlign val="superscript"/>
      <sz val="10"/>
      <name val="Arial"/>
      <family val="2"/>
    </font>
    <font>
      <b/>
      <sz val="9"/>
      <name val="Arial"/>
      <family val="2"/>
    </font>
    <font>
      <i/>
      <sz val="8"/>
      <name val="Arial"/>
      <family val="2"/>
    </font>
    <font>
      <b/>
      <sz val="8"/>
      <name val="Arial"/>
      <family val="2"/>
    </font>
    <font>
      <vertAlign val="superscript"/>
      <sz val="8"/>
      <name val="Arial"/>
      <family val="2"/>
    </font>
    <font>
      <b/>
      <sz val="12"/>
      <name val="Arial"/>
      <family val="2"/>
    </font>
    <font>
      <vertAlign val="superscript"/>
      <sz val="9"/>
      <color indexed="8"/>
      <name val="Arial"/>
      <family val="2"/>
    </font>
    <font>
      <vertAlign val="superscript"/>
      <sz val="9"/>
      <name val="Arial"/>
      <family val="2"/>
    </font>
    <font>
      <sz val="8"/>
      <name val="Calibri"/>
      <family val="2"/>
    </font>
    <font>
      <sz val="9"/>
      <name val="Calibri"/>
      <family val="2"/>
    </font>
    <font>
      <i/>
      <sz val="8"/>
      <name val="Calibri"/>
      <family val="2"/>
    </font>
    <font>
      <sz val="10"/>
      <name val="Calibri"/>
      <family val="2"/>
    </font>
    <font>
      <sz val="1.5"/>
      <color indexed="8"/>
      <name val="Arial"/>
      <family val="2"/>
    </font>
    <font>
      <sz val="1.25"/>
      <color indexed="8"/>
      <name val="Arial"/>
      <family val="2"/>
    </font>
    <font>
      <sz val="7.25"/>
      <color indexed="8"/>
      <name val="Arial"/>
      <family val="2"/>
    </font>
    <font>
      <i/>
      <vertAlign val="superscript"/>
      <sz val="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20"/>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0"/>
      <color indexed="8"/>
      <name val="Arial"/>
      <family val="2"/>
    </font>
    <font>
      <b/>
      <sz val="10"/>
      <color indexed="8"/>
      <name val="Arial"/>
      <family val="2"/>
    </font>
    <font>
      <sz val="9"/>
      <color indexed="8"/>
      <name val="Arial"/>
      <family val="2"/>
    </font>
    <font>
      <sz val="11"/>
      <color indexed="8"/>
      <name val="Arial"/>
      <family val="2"/>
    </font>
    <font>
      <sz val="10"/>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0"/>
      <color theme="11"/>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0"/>
      <color theme="1"/>
      <name val="Arial"/>
      <family val="2"/>
    </font>
    <font>
      <b/>
      <sz val="10"/>
      <color theme="1"/>
      <name val="Arial"/>
      <family val="2"/>
    </font>
    <font>
      <sz val="9"/>
      <color theme="1"/>
      <name val="Arial"/>
      <family val="2"/>
    </font>
    <font>
      <sz val="11"/>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
      <patternFill patternType="solid">
        <fgColor indexed="65"/>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color indexed="63"/>
      </right>
      <top style="thin"/>
      <bottom style="thin"/>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style="thin"/>
      <top style="thin"/>
      <bottom style="double"/>
    </border>
    <border>
      <left style="thin"/>
      <right style="thin"/>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dotted"/>
      <top style="thin"/>
      <bottom style="thin"/>
    </border>
    <border>
      <left style="dotted"/>
      <right>
        <color indexed="63"/>
      </right>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0" borderId="2" applyNumberFormat="0" applyFill="0" applyAlignment="0" applyProtection="0"/>
    <xf numFmtId="0" fontId="0" fillId="27" borderId="3" applyNumberFormat="0" applyFont="0" applyAlignment="0" applyProtection="0"/>
    <xf numFmtId="0" fontId="49" fillId="28" borderId="1" applyNumberFormat="0" applyAlignment="0" applyProtection="0"/>
    <xf numFmtId="0" fontId="50" fillId="29"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0" borderId="0" applyNumberFormat="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xf numFmtId="9" fontId="0" fillId="0" borderId="0" applyFont="0" applyFill="0" applyBorder="0" applyAlignment="0" applyProtection="0"/>
    <xf numFmtId="0" fontId="54" fillId="31" borderId="0" applyNumberFormat="0" applyBorder="0" applyAlignment="0" applyProtection="0"/>
    <xf numFmtId="0" fontId="55" fillId="26" borderId="4"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2" borderId="9" applyNumberFormat="0" applyAlignment="0" applyProtection="0"/>
  </cellStyleXfs>
  <cellXfs count="227">
    <xf numFmtId="0" fontId="0" fillId="0" borderId="0" xfId="0" applyAlignment="1">
      <alignment/>
    </xf>
    <xf numFmtId="0" fontId="3" fillId="0" borderId="0" xfId="0" applyFont="1" applyAlignment="1">
      <alignment/>
    </xf>
    <xf numFmtId="0" fontId="3" fillId="0" borderId="10" xfId="0" applyFont="1" applyFill="1" applyBorder="1" applyAlignment="1">
      <alignment horizontal="center"/>
    </xf>
    <xf numFmtId="0" fontId="3" fillId="0" borderId="11" xfId="0" applyFont="1" applyFill="1" applyBorder="1" applyAlignment="1">
      <alignment horizontal="center"/>
    </xf>
    <xf numFmtId="0" fontId="1" fillId="33" borderId="10" xfId="0" applyFont="1" applyFill="1" applyBorder="1" applyAlignment="1">
      <alignment horizontal="center" vertical="center" wrapText="1"/>
    </xf>
    <xf numFmtId="0" fontId="1" fillId="33" borderId="11" xfId="0" applyFont="1" applyFill="1" applyBorder="1" applyAlignment="1">
      <alignment horizontal="center" vertical="center" wrapText="1"/>
    </xf>
    <xf numFmtId="0" fontId="5" fillId="0" borderId="12" xfId="0" applyFont="1" applyFill="1" applyBorder="1" applyAlignment="1">
      <alignment horizontal="center" wrapText="1"/>
    </xf>
    <xf numFmtId="0" fontId="5" fillId="33" borderId="12" xfId="0" applyFont="1" applyFill="1" applyBorder="1" applyAlignment="1">
      <alignment horizontal="center" wrapText="1"/>
    </xf>
    <xf numFmtId="0" fontId="0" fillId="0" borderId="0" xfId="0" applyAlignment="1">
      <alignment wrapText="1"/>
    </xf>
    <xf numFmtId="0" fontId="3" fillId="0" borderId="13" xfId="0" applyFont="1" applyFill="1" applyBorder="1" applyAlignment="1">
      <alignment horizontal="center"/>
    </xf>
    <xf numFmtId="0" fontId="0" fillId="0" borderId="0" xfId="0" applyFont="1" applyAlignment="1">
      <alignment/>
    </xf>
    <xf numFmtId="0" fontId="1" fillId="0" borderId="12" xfId="0" applyFont="1" applyFill="1" applyBorder="1" applyAlignment="1">
      <alignment horizontal="left" vertical="center" wrapText="1"/>
    </xf>
    <xf numFmtId="0" fontId="1" fillId="0" borderId="0" xfId="0" applyFont="1" applyAlignment="1">
      <alignment/>
    </xf>
    <xf numFmtId="0" fontId="3" fillId="34" borderId="0" xfId="0" applyFont="1" applyFill="1" applyBorder="1" applyAlignment="1">
      <alignment vertical="center" wrapText="1"/>
    </xf>
    <xf numFmtId="0" fontId="0" fillId="34" borderId="0" xfId="0" applyFill="1" applyAlignment="1">
      <alignment/>
    </xf>
    <xf numFmtId="173" fontId="7" fillId="0" borderId="12" xfId="0" applyNumberFormat="1" applyFont="1" applyBorder="1" applyAlignment="1">
      <alignment horizontal="center" vertical="center" wrapText="1"/>
    </xf>
    <xf numFmtId="173" fontId="7" fillId="0" borderId="14" xfId="0" applyNumberFormat="1" applyFont="1" applyBorder="1" applyAlignment="1">
      <alignment horizontal="center" vertical="center" wrapText="1"/>
    </xf>
    <xf numFmtId="173" fontId="7" fillId="0" borderId="15" xfId="0" applyNumberFormat="1" applyFont="1" applyBorder="1" applyAlignment="1">
      <alignment horizontal="center" vertical="center" wrapText="1"/>
    </xf>
    <xf numFmtId="173" fontId="6" fillId="0" borderId="10" xfId="0" applyNumberFormat="1" applyFont="1" applyBorder="1" applyAlignment="1">
      <alignment horizontal="center" vertical="center" wrapText="1"/>
    </xf>
    <xf numFmtId="173" fontId="6" fillId="0" borderId="13" xfId="0" applyNumberFormat="1" applyFont="1" applyBorder="1" applyAlignment="1">
      <alignment horizontal="center" vertical="center" wrapText="1"/>
    </xf>
    <xf numFmtId="173" fontId="6" fillId="0" borderId="11" xfId="0" applyNumberFormat="1" applyFont="1" applyBorder="1" applyAlignment="1">
      <alignment horizontal="center" vertical="center" wrapText="1"/>
    </xf>
    <xf numFmtId="173" fontId="6" fillId="0" borderId="16" xfId="0" applyNumberFormat="1" applyFont="1" applyBorder="1" applyAlignment="1">
      <alignment horizontal="center" vertical="center" wrapText="1"/>
    </xf>
    <xf numFmtId="173" fontId="6" fillId="0" borderId="17" xfId="0" applyNumberFormat="1" applyFont="1" applyBorder="1" applyAlignment="1">
      <alignment horizontal="center" vertical="center" wrapText="1"/>
    </xf>
    <xf numFmtId="173" fontId="6" fillId="0" borderId="18" xfId="0" applyNumberFormat="1" applyFont="1" applyBorder="1" applyAlignment="1">
      <alignment horizontal="center" vertical="center" wrapText="1"/>
    </xf>
    <xf numFmtId="173" fontId="6" fillId="0" borderId="19" xfId="0" applyNumberFormat="1" applyFont="1" applyBorder="1" applyAlignment="1">
      <alignment horizontal="center" vertical="center" wrapText="1"/>
    </xf>
    <xf numFmtId="173" fontId="6" fillId="0" borderId="20" xfId="0" applyNumberFormat="1" applyFont="1" applyBorder="1" applyAlignment="1">
      <alignment horizontal="center" vertical="center" wrapText="1"/>
    </xf>
    <xf numFmtId="173" fontId="6" fillId="0" borderId="21" xfId="0" applyNumberFormat="1" applyFont="1" applyBorder="1" applyAlignment="1">
      <alignment horizontal="center" vertical="center" wrapText="1"/>
    </xf>
    <xf numFmtId="0" fontId="2" fillId="0" borderId="12" xfId="0" applyFont="1" applyBorder="1" applyAlignment="1">
      <alignment/>
    </xf>
    <xf numFmtId="0" fontId="2" fillId="34" borderId="12" xfId="0" applyFont="1" applyFill="1" applyBorder="1" applyAlignment="1">
      <alignment vertical="top" wrapText="1"/>
    </xf>
    <xf numFmtId="0" fontId="2" fillId="34" borderId="14" xfId="0" applyFont="1" applyFill="1" applyBorder="1" applyAlignment="1">
      <alignment vertical="top" wrapText="1"/>
    </xf>
    <xf numFmtId="0" fontId="7" fillId="0" borderId="1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2" fillId="0" borderId="0" xfId="0" applyFont="1" applyAlignment="1">
      <alignment vertical="center"/>
    </xf>
    <xf numFmtId="0" fontId="2" fillId="0" borderId="0" xfId="0" applyFont="1" applyAlignment="1">
      <alignment/>
    </xf>
    <xf numFmtId="0" fontId="2" fillId="0" borderId="0" xfId="0" applyFont="1" applyFill="1" applyBorder="1" applyAlignment="1">
      <alignment horizontal="left" wrapText="1"/>
    </xf>
    <xf numFmtId="0" fontId="2" fillId="0" borderId="0" xfId="0" applyFont="1" applyFill="1" applyBorder="1" applyAlignment="1">
      <alignment wrapText="1"/>
    </xf>
    <xf numFmtId="0" fontId="8" fillId="0" borderId="0" xfId="0" applyFont="1" applyFill="1" applyBorder="1" applyAlignment="1">
      <alignment/>
    </xf>
    <xf numFmtId="0" fontId="2" fillId="0" borderId="0" xfId="0" applyFont="1" applyAlignment="1">
      <alignment/>
    </xf>
    <xf numFmtId="0" fontId="2" fillId="0" borderId="0" xfId="0" applyFont="1" applyFill="1" applyBorder="1" applyAlignment="1">
      <alignment/>
    </xf>
    <xf numFmtId="0" fontId="2" fillId="0" borderId="0" xfId="0" applyFont="1" applyFill="1" applyBorder="1" applyAlignment="1">
      <alignment horizontal="left"/>
    </xf>
    <xf numFmtId="20" fontId="0" fillId="0" borderId="0" xfId="0" applyNumberFormat="1" applyAlignment="1">
      <alignment/>
    </xf>
    <xf numFmtId="3" fontId="3" fillId="33" borderId="12" xfId="0" applyNumberFormat="1" applyFont="1" applyFill="1" applyBorder="1" applyAlignment="1">
      <alignment horizontal="center" vertical="center"/>
    </xf>
    <xf numFmtId="9" fontId="63" fillId="0" borderId="10" xfId="0" applyNumberFormat="1" applyFont="1" applyFill="1" applyBorder="1" applyAlignment="1">
      <alignment horizontal="center" vertical="center"/>
    </xf>
    <xf numFmtId="3" fontId="3" fillId="0" borderId="12" xfId="0" applyNumberFormat="1" applyFont="1" applyFill="1" applyBorder="1" applyAlignment="1">
      <alignment horizontal="center" vertical="center"/>
    </xf>
    <xf numFmtId="9" fontId="0" fillId="0" borderId="10" xfId="55" applyFont="1" applyFill="1" applyBorder="1" applyAlignment="1">
      <alignment horizontal="center" vertical="center"/>
    </xf>
    <xf numFmtId="9" fontId="0" fillId="0" borderId="11" xfId="55" applyFont="1" applyFill="1" applyBorder="1" applyAlignment="1">
      <alignment horizontal="center" vertical="center"/>
    </xf>
    <xf numFmtId="9" fontId="0" fillId="0" borderId="10" xfId="55" applyFont="1" applyFill="1" applyBorder="1" applyAlignment="1">
      <alignment horizontal="center" vertical="center" wrapText="1"/>
    </xf>
    <xf numFmtId="9" fontId="0" fillId="0" borderId="11" xfId="55" applyFont="1" applyFill="1" applyBorder="1" applyAlignment="1">
      <alignment horizontal="center" vertical="center" wrapText="1"/>
    </xf>
    <xf numFmtId="9" fontId="0" fillId="0" borderId="13" xfId="55" applyFont="1" applyFill="1" applyBorder="1" applyAlignment="1">
      <alignment horizontal="center" vertical="center" wrapText="1"/>
    </xf>
    <xf numFmtId="0" fontId="1" fillId="0" borderId="10" xfId="0" applyFont="1" applyFill="1" applyBorder="1" applyAlignment="1">
      <alignment horizontal="left" vertical="center" wrapText="1"/>
    </xf>
    <xf numFmtId="3" fontId="3" fillId="0" borderId="12" xfId="0" applyNumberFormat="1" applyFont="1" applyFill="1" applyBorder="1" applyAlignment="1">
      <alignment horizontal="center"/>
    </xf>
    <xf numFmtId="9" fontId="63" fillId="0" borderId="12" xfId="0" applyNumberFormat="1" applyFont="1" applyFill="1" applyBorder="1" applyAlignment="1">
      <alignment horizontal="center"/>
    </xf>
    <xf numFmtId="1" fontId="64" fillId="0" borderId="12" xfId="0" applyNumberFormat="1" applyFont="1" applyFill="1" applyBorder="1" applyAlignment="1">
      <alignment horizontal="center"/>
    </xf>
    <xf numFmtId="0" fontId="1" fillId="0" borderId="22" xfId="0" applyFont="1" applyFill="1" applyBorder="1" applyAlignment="1">
      <alignment horizontal="left" vertical="center" wrapText="1"/>
    </xf>
    <xf numFmtId="0" fontId="65" fillId="0" borderId="10" xfId="0" applyFont="1" applyFill="1" applyBorder="1" applyAlignment="1">
      <alignment horizontal="left" vertical="center" wrapText="1"/>
    </xf>
    <xf numFmtId="9" fontId="0" fillId="0" borderId="23" xfId="55" applyFont="1" applyFill="1" applyBorder="1" applyAlignment="1">
      <alignment horizontal="center" vertical="center"/>
    </xf>
    <xf numFmtId="9" fontId="1" fillId="0" borderId="10" xfId="0" applyNumberFormat="1" applyFont="1" applyFill="1" applyBorder="1" applyAlignment="1">
      <alignment horizontal="center" vertical="center"/>
    </xf>
    <xf numFmtId="0" fontId="1" fillId="0" borderId="11" xfId="0" applyFont="1" applyFill="1" applyBorder="1" applyAlignment="1">
      <alignment horizontal="center" vertical="center"/>
    </xf>
    <xf numFmtId="0" fontId="1" fillId="0" borderId="11" xfId="0" applyFont="1" applyFill="1" applyBorder="1" applyAlignment="1">
      <alignment horizontal="center" vertical="center" wrapText="1"/>
    </xf>
    <xf numFmtId="0" fontId="6" fillId="0" borderId="0" xfId="0" applyFont="1" applyFill="1" applyBorder="1" applyAlignment="1">
      <alignment horizontal="left" wrapText="1"/>
    </xf>
    <xf numFmtId="0" fontId="0" fillId="0" borderId="0" xfId="0" applyFill="1" applyAlignment="1">
      <alignment/>
    </xf>
    <xf numFmtId="9" fontId="63" fillId="0" borderId="10" xfId="0" applyNumberFormat="1" applyFont="1" applyFill="1" applyBorder="1" applyAlignment="1">
      <alignment horizontal="center"/>
    </xf>
    <xf numFmtId="0" fontId="0" fillId="0" borderId="0" xfId="0" applyBorder="1" applyAlignment="1">
      <alignment/>
    </xf>
    <xf numFmtId="0" fontId="0" fillId="0" borderId="12" xfId="0" applyFont="1" applyBorder="1" applyAlignment="1">
      <alignment horizontal="center" vertical="center" wrapText="1"/>
    </xf>
    <xf numFmtId="0" fontId="0" fillId="0" borderId="12" xfId="0" applyBorder="1" applyAlignment="1">
      <alignment horizontal="center" vertical="center" wrapText="1"/>
    </xf>
    <xf numFmtId="164" fontId="0" fillId="0" borderId="12" xfId="55" applyNumberFormat="1" applyFont="1" applyBorder="1" applyAlignment="1">
      <alignment horizontal="center" vertical="center"/>
    </xf>
    <xf numFmtId="164" fontId="0" fillId="0" borderId="12" xfId="0" applyNumberFormat="1" applyBorder="1" applyAlignment="1">
      <alignment horizontal="center" vertical="center"/>
    </xf>
    <xf numFmtId="173" fontId="0" fillId="0" borderId="12" xfId="55" applyNumberFormat="1" applyFont="1" applyBorder="1" applyAlignment="1">
      <alignment horizontal="center" vertical="center"/>
    </xf>
    <xf numFmtId="173" fontId="0" fillId="0" borderId="12" xfId="0" applyNumberFormat="1" applyBorder="1" applyAlignment="1">
      <alignment horizontal="center" vertical="center"/>
    </xf>
    <xf numFmtId="164" fontId="3" fillId="0" borderId="12" xfId="55" applyNumberFormat="1" applyFont="1" applyBorder="1" applyAlignment="1">
      <alignment horizontal="center" vertical="center"/>
    </xf>
    <xf numFmtId="164" fontId="3" fillId="0" borderId="12" xfId="0" applyNumberFormat="1" applyFont="1" applyBorder="1" applyAlignment="1">
      <alignment horizontal="center" vertical="center"/>
    </xf>
    <xf numFmtId="173" fontId="3" fillId="0" borderId="12" xfId="0" applyNumberFormat="1" applyFont="1" applyBorder="1" applyAlignment="1">
      <alignment horizontal="center" vertical="center"/>
    </xf>
    <xf numFmtId="9" fontId="0" fillId="0" borderId="13" xfId="55" applyFont="1" applyFill="1" applyBorder="1" applyAlignment="1">
      <alignment horizontal="center" vertical="center"/>
    </xf>
    <xf numFmtId="0" fontId="0" fillId="0" borderId="0" xfId="0" applyFont="1" applyAlignment="1">
      <alignment/>
    </xf>
    <xf numFmtId="0" fontId="3" fillId="0" borderId="24" xfId="0" applyFont="1" applyFill="1" applyBorder="1" applyAlignment="1">
      <alignment horizontal="center"/>
    </xf>
    <xf numFmtId="0" fontId="3" fillId="0" borderId="12" xfId="0" applyFont="1" applyFill="1" applyBorder="1" applyAlignment="1">
      <alignment horizontal="center"/>
    </xf>
    <xf numFmtId="9" fontId="0" fillId="0" borderId="24" xfId="55" applyFont="1" applyFill="1" applyBorder="1" applyAlignment="1">
      <alignment horizontal="center" vertical="center" wrapText="1"/>
    </xf>
    <xf numFmtId="9" fontId="0" fillId="0" borderId="12" xfId="55" applyFont="1" applyFill="1" applyBorder="1" applyAlignment="1">
      <alignment horizontal="center" vertical="center"/>
    </xf>
    <xf numFmtId="9" fontId="0" fillId="33" borderId="12" xfId="55" applyFont="1" applyFill="1" applyBorder="1" applyAlignment="1">
      <alignment horizontal="center" vertical="center"/>
    </xf>
    <xf numFmtId="0" fontId="4" fillId="0" borderId="0" xfId="0" applyFont="1" applyFill="1" applyBorder="1" applyAlignment="1">
      <alignment horizontal="center"/>
    </xf>
    <xf numFmtId="0" fontId="63" fillId="0" borderId="0" xfId="0" applyFont="1" applyAlignment="1">
      <alignment/>
    </xf>
    <xf numFmtId="3" fontId="63" fillId="0" borderId="0" xfId="0" applyNumberFormat="1" applyFont="1" applyAlignment="1">
      <alignment/>
    </xf>
    <xf numFmtId="20" fontId="1" fillId="35" borderId="10" xfId="0" applyNumberFormat="1" applyFont="1" applyFill="1" applyBorder="1" applyAlignment="1">
      <alignment horizontal="left" vertical="center" wrapText="1"/>
    </xf>
    <xf numFmtId="0" fontId="0" fillId="0" borderId="0" xfId="0" applyFill="1" applyBorder="1" applyAlignment="1">
      <alignment horizontal="center"/>
    </xf>
    <xf numFmtId="0" fontId="1" fillId="0" borderId="10" xfId="0" applyFont="1" applyFill="1" applyBorder="1" applyAlignment="1">
      <alignment horizontal="center" vertical="center" wrapText="1"/>
    </xf>
    <xf numFmtId="9" fontId="0" fillId="0" borderId="10" xfId="0" applyNumberFormat="1" applyFill="1" applyBorder="1" applyAlignment="1">
      <alignment horizontal="center"/>
    </xf>
    <xf numFmtId="0" fontId="0" fillId="0" borderId="12" xfId="0" applyFont="1" applyBorder="1" applyAlignment="1">
      <alignment vertical="center" wrapText="1"/>
    </xf>
    <xf numFmtId="0" fontId="3" fillId="0" borderId="12" xfId="0" applyFont="1" applyBorder="1" applyAlignment="1">
      <alignment vertical="center" wrapText="1"/>
    </xf>
    <xf numFmtId="0" fontId="3" fillId="0" borderId="25" xfId="53" applyFont="1" applyFill="1" applyBorder="1">
      <alignment/>
      <protection/>
    </xf>
    <xf numFmtId="0" fontId="2" fillId="0" borderId="0" xfId="53" applyFont="1" applyFill="1">
      <alignment/>
      <protection/>
    </xf>
    <xf numFmtId="0" fontId="0" fillId="0" borderId="26" xfId="53" applyFont="1" applyFill="1" applyBorder="1">
      <alignment/>
      <protection/>
    </xf>
    <xf numFmtId="0" fontId="0" fillId="0" borderId="15" xfId="53" applyFont="1" applyFill="1" applyBorder="1">
      <alignment/>
      <protection/>
    </xf>
    <xf numFmtId="0" fontId="0" fillId="0" borderId="26" xfId="0" applyFont="1" applyFill="1" applyBorder="1" applyAlignment="1">
      <alignment wrapText="1"/>
    </xf>
    <xf numFmtId="173" fontId="0" fillId="0" borderId="25" xfId="56" applyNumberFormat="1" applyFont="1" applyFill="1" applyBorder="1" applyAlignment="1">
      <alignment horizontal="center"/>
    </xf>
    <xf numFmtId="0" fontId="2" fillId="0" borderId="0" xfId="0" applyFont="1" applyFill="1" applyAlignment="1">
      <alignment/>
    </xf>
    <xf numFmtId="173" fontId="0" fillId="0" borderId="22" xfId="56" applyNumberFormat="1" applyFont="1" applyFill="1" applyBorder="1" applyAlignment="1">
      <alignment horizontal="center"/>
    </xf>
    <xf numFmtId="0" fontId="6" fillId="0" borderId="0" xfId="0" applyFont="1" applyFill="1" applyAlignment="1">
      <alignment/>
    </xf>
    <xf numFmtId="0" fontId="3" fillId="0" borderId="10" xfId="0" applyFont="1" applyFill="1" applyBorder="1" applyAlignment="1">
      <alignment/>
    </xf>
    <xf numFmtId="173" fontId="3" fillId="0" borderId="12" xfId="56" applyNumberFormat="1" applyFont="1" applyFill="1" applyBorder="1" applyAlignment="1">
      <alignment horizontal="center"/>
    </xf>
    <xf numFmtId="0" fontId="2" fillId="0" borderId="0" xfId="53" applyFont="1" applyFill="1" applyBorder="1" applyAlignment="1">
      <alignment vertical="center" wrapText="1"/>
      <protection/>
    </xf>
    <xf numFmtId="0" fontId="3" fillId="0" borderId="0" xfId="0" applyFont="1" applyFill="1" applyBorder="1" applyAlignment="1">
      <alignment horizontal="left" vertical="center" wrapText="1"/>
    </xf>
    <xf numFmtId="0" fontId="1" fillId="0" borderId="12" xfId="0" applyFont="1" applyFill="1" applyBorder="1" applyAlignment="1">
      <alignment horizontal="left" wrapText="1"/>
    </xf>
    <xf numFmtId="0" fontId="6" fillId="0" borderId="0" xfId="0" applyFont="1" applyFill="1" applyAlignment="1">
      <alignment/>
    </xf>
    <xf numFmtId="0" fontId="0" fillId="0" borderId="0" xfId="0" applyFont="1" applyFill="1" applyAlignment="1">
      <alignment/>
    </xf>
    <xf numFmtId="0" fontId="1" fillId="0" borderId="12" xfId="0" applyFont="1" applyFill="1" applyBorder="1" applyAlignment="1">
      <alignment horizontal="center" wrapText="1"/>
    </xf>
    <xf numFmtId="0" fontId="1" fillId="0" borderId="12" xfId="0" applyFont="1" applyFill="1" applyBorder="1" applyAlignment="1">
      <alignment horizontal="center" vertical="center" wrapText="1"/>
    </xf>
    <xf numFmtId="164" fontId="1" fillId="0" borderId="12" xfId="0" applyNumberFormat="1" applyFont="1" applyFill="1" applyBorder="1" applyAlignment="1">
      <alignment horizontal="center" vertical="center" wrapText="1"/>
    </xf>
    <xf numFmtId="173" fontId="0" fillId="0" borderId="22" xfId="56" applyNumberFormat="1" applyFont="1" applyFill="1" applyBorder="1" applyAlignment="1">
      <alignment horizontal="center" vertical="center"/>
    </xf>
    <xf numFmtId="0" fontId="2" fillId="0" borderId="15" xfId="0" applyFont="1" applyBorder="1" applyAlignment="1">
      <alignment/>
    </xf>
    <xf numFmtId="0" fontId="2" fillId="34" borderId="12" xfId="0" applyFont="1" applyFill="1" applyBorder="1" applyAlignment="1">
      <alignment vertical="top" wrapText="1"/>
    </xf>
    <xf numFmtId="0" fontId="6" fillId="0" borderId="0" xfId="0" applyFont="1" applyFill="1" applyBorder="1" applyAlignment="1">
      <alignment wrapText="1"/>
    </xf>
    <xf numFmtId="0" fontId="2" fillId="0" borderId="0" xfId="0" applyFont="1" applyBorder="1" applyAlignment="1">
      <alignment/>
    </xf>
    <xf numFmtId="9" fontId="0" fillId="0" borderId="23" xfId="55" applyFont="1" applyFill="1" applyBorder="1" applyAlignment="1">
      <alignment horizontal="center" vertical="center" wrapText="1"/>
    </xf>
    <xf numFmtId="0" fontId="3" fillId="0" borderId="0" xfId="0" applyFont="1" applyFill="1" applyBorder="1" applyAlignment="1">
      <alignment vertical="center" wrapText="1"/>
    </xf>
    <xf numFmtId="0" fontId="9" fillId="0" borderId="0" xfId="0" applyFont="1" applyFill="1" applyBorder="1" applyAlignment="1">
      <alignment/>
    </xf>
    <xf numFmtId="0" fontId="0" fillId="0" borderId="0" xfId="0" applyFill="1" applyBorder="1" applyAlignment="1">
      <alignment/>
    </xf>
    <xf numFmtId="164" fontId="0" fillId="0" borderId="13" xfId="55" applyNumberFormat="1" applyFont="1" applyFill="1" applyBorder="1" applyAlignment="1">
      <alignment horizontal="center" vertical="center"/>
    </xf>
    <xf numFmtId="164" fontId="0" fillId="0" borderId="10" xfId="55" applyNumberFormat="1" applyFont="1" applyFill="1" applyBorder="1" applyAlignment="1">
      <alignment horizontal="center" vertical="center" wrapText="1"/>
    </xf>
    <xf numFmtId="164" fontId="0" fillId="0" borderId="12" xfId="55" applyNumberFormat="1" applyFont="1" applyFill="1" applyBorder="1" applyAlignment="1">
      <alignment horizontal="center" vertical="center"/>
    </xf>
    <xf numFmtId="164" fontId="0" fillId="0" borderId="10" xfId="55" applyNumberFormat="1" applyFont="1" applyFill="1" applyBorder="1" applyAlignment="1">
      <alignment horizontal="center" vertical="center"/>
    </xf>
    <xf numFmtId="9" fontId="0" fillId="0" borderId="24" xfId="55" applyNumberFormat="1" applyFont="1" applyFill="1" applyBorder="1" applyAlignment="1">
      <alignment horizontal="center" vertical="center"/>
    </xf>
    <xf numFmtId="9" fontId="0" fillId="0" borderId="10" xfId="0" applyNumberFormat="1" applyFont="1" applyFill="1" applyBorder="1" applyAlignment="1">
      <alignment horizontal="center" vertical="center"/>
    </xf>
    <xf numFmtId="9" fontId="0" fillId="0" borderId="11" xfId="0" applyNumberFormat="1" applyFont="1" applyFill="1" applyBorder="1" applyAlignment="1">
      <alignment horizontal="center" vertical="center"/>
    </xf>
    <xf numFmtId="9" fontId="0" fillId="0" borderId="10" xfId="0" applyNumberFormat="1" applyFont="1" applyFill="1" applyBorder="1" applyAlignment="1">
      <alignment horizontal="center"/>
    </xf>
    <xf numFmtId="9" fontId="63" fillId="0" borderId="12" xfId="0" applyNumberFormat="1" applyFont="1" applyFill="1" applyBorder="1" applyAlignment="1">
      <alignment horizontal="center" vertical="center"/>
    </xf>
    <xf numFmtId="9" fontId="0" fillId="33" borderId="12" xfId="55" applyFont="1" applyFill="1" applyBorder="1" applyAlignment="1">
      <alignment horizontal="center" vertical="center" wrapText="1"/>
    </xf>
    <xf numFmtId="164" fontId="0" fillId="0" borderId="11" xfId="55" applyNumberFormat="1" applyFont="1" applyFill="1" applyBorder="1" applyAlignment="1">
      <alignment horizontal="center" vertical="center"/>
    </xf>
    <xf numFmtId="0" fontId="0" fillId="0" borderId="0" xfId="0" applyFont="1" applyFill="1" applyBorder="1" applyAlignment="1">
      <alignment/>
    </xf>
    <xf numFmtId="9" fontId="0" fillId="0" borderId="10" xfId="55" applyNumberFormat="1" applyFont="1" applyFill="1" applyBorder="1" applyAlignment="1">
      <alignment horizontal="center" vertical="center" wrapText="1"/>
    </xf>
    <xf numFmtId="9" fontId="0" fillId="0" borderId="27" xfId="55" applyFont="1" applyFill="1" applyBorder="1" applyAlignment="1">
      <alignment horizontal="center" vertical="center"/>
    </xf>
    <xf numFmtId="9" fontId="0" fillId="0" borderId="19" xfId="55" applyFont="1" applyFill="1" applyBorder="1" applyAlignment="1">
      <alignment horizontal="center" vertical="center"/>
    </xf>
    <xf numFmtId="9" fontId="0" fillId="0" borderId="21" xfId="55" applyFont="1" applyFill="1" applyBorder="1" applyAlignment="1">
      <alignment horizontal="center" vertical="center"/>
    </xf>
    <xf numFmtId="9" fontId="0" fillId="0" borderId="28" xfId="55" applyFont="1" applyFill="1" applyBorder="1" applyAlignment="1">
      <alignment horizontal="center" vertical="center"/>
    </xf>
    <xf numFmtId="9" fontId="0" fillId="0" borderId="20" xfId="55" applyFont="1" applyFill="1" applyBorder="1" applyAlignment="1">
      <alignment horizontal="center" vertical="center"/>
    </xf>
    <xf numFmtId="9" fontId="0" fillId="0" borderId="15" xfId="55" applyFont="1" applyFill="1" applyBorder="1" applyAlignment="1">
      <alignment horizontal="center" vertical="center"/>
    </xf>
    <xf numFmtId="0" fontId="0" fillId="0" borderId="0" xfId="0" applyFont="1" applyFill="1" applyBorder="1" applyAlignment="1">
      <alignment horizontal="center" vertical="center"/>
    </xf>
    <xf numFmtId="173" fontId="0" fillId="0" borderId="12" xfId="0" applyNumberFormat="1" applyFill="1" applyBorder="1" applyAlignment="1">
      <alignment horizontal="center" vertical="center"/>
    </xf>
    <xf numFmtId="173" fontId="3" fillId="0" borderId="12" xfId="0" applyNumberFormat="1" applyFont="1" applyFill="1" applyBorder="1" applyAlignment="1">
      <alignment horizontal="center" vertical="center"/>
    </xf>
    <xf numFmtId="178" fontId="1" fillId="0" borderId="12" xfId="47" applyNumberFormat="1" applyFont="1" applyFill="1" applyBorder="1" applyAlignment="1">
      <alignment horizontal="center" vertical="center" wrapText="1"/>
    </xf>
    <xf numFmtId="177" fontId="1" fillId="0" borderId="12" xfId="47" applyNumberFormat="1" applyFont="1" applyFill="1" applyBorder="1" applyAlignment="1">
      <alignment horizontal="center" vertical="center" wrapText="1"/>
    </xf>
    <xf numFmtId="164" fontId="0" fillId="0" borderId="12" xfId="55" applyNumberFormat="1" applyFont="1" applyBorder="1" applyAlignment="1">
      <alignment horizontal="center" vertical="center"/>
    </xf>
    <xf numFmtId="164" fontId="0" fillId="0" borderId="12" xfId="0" applyNumberFormat="1" applyFont="1" applyBorder="1" applyAlignment="1">
      <alignment horizontal="center" vertical="center"/>
    </xf>
    <xf numFmtId="0" fontId="0" fillId="0" borderId="12" xfId="0" applyFont="1" applyBorder="1" applyAlignment="1">
      <alignment horizontal="center" vertical="center"/>
    </xf>
    <xf numFmtId="0" fontId="0" fillId="0" borderId="12" xfId="55" applyNumberFormat="1" applyFont="1" applyBorder="1" applyAlignment="1">
      <alignment horizontal="center" vertical="center"/>
    </xf>
    <xf numFmtId="3" fontId="1" fillId="0" borderId="11" xfId="0" applyNumberFormat="1" applyFont="1" applyFill="1" applyBorder="1" applyAlignment="1">
      <alignment horizontal="center" vertical="center"/>
    </xf>
    <xf numFmtId="0" fontId="3" fillId="0" borderId="26" xfId="53" applyFont="1" applyFill="1" applyBorder="1" applyAlignment="1">
      <alignment horizontal="center"/>
      <protection/>
    </xf>
    <xf numFmtId="0" fontId="3" fillId="34" borderId="0" xfId="0" applyFont="1" applyFill="1" applyBorder="1" applyAlignment="1">
      <alignment horizontal="left" vertical="center" wrapText="1"/>
    </xf>
    <xf numFmtId="0" fontId="0" fillId="0" borderId="29" xfId="0" applyFont="1" applyBorder="1" applyAlignment="1">
      <alignment horizontal="center"/>
    </xf>
    <xf numFmtId="0" fontId="0" fillId="0" borderId="28" xfId="0" applyBorder="1" applyAlignment="1">
      <alignment horizontal="center"/>
    </xf>
    <xf numFmtId="0" fontId="0" fillId="0" borderId="27" xfId="0" applyBorder="1" applyAlignment="1">
      <alignment horizontal="center"/>
    </xf>
    <xf numFmtId="0" fontId="1" fillId="0" borderId="25" xfId="0" applyFont="1" applyBorder="1" applyAlignment="1">
      <alignment horizontal="center"/>
    </xf>
    <xf numFmtId="0" fontId="1" fillId="0" borderId="15" xfId="0" applyFont="1" applyBorder="1" applyAlignment="1">
      <alignment horizontal="center"/>
    </xf>
    <xf numFmtId="3" fontId="0" fillId="0" borderId="10" xfId="0" applyNumberFormat="1" applyFont="1" applyFill="1" applyBorder="1" applyAlignment="1">
      <alignment horizontal="center" vertical="center"/>
    </xf>
    <xf numFmtId="3" fontId="0" fillId="0" borderId="13" xfId="0" applyNumberFormat="1" applyFont="1" applyFill="1" applyBorder="1" applyAlignment="1">
      <alignment horizontal="center" vertical="center"/>
    </xf>
    <xf numFmtId="9" fontId="0" fillId="0" borderId="10" xfId="55" applyFont="1" applyFill="1" applyBorder="1" applyAlignment="1">
      <alignment horizontal="center" vertical="center" wrapText="1"/>
    </xf>
    <xf numFmtId="9" fontId="0" fillId="0" borderId="13" xfId="55" applyFont="1" applyFill="1" applyBorder="1" applyAlignment="1">
      <alignment horizontal="center" vertical="center" wrapText="1"/>
    </xf>
    <xf numFmtId="9" fontId="0" fillId="0" borderId="11" xfId="55" applyFont="1" applyFill="1" applyBorder="1" applyAlignment="1">
      <alignment horizontal="center" vertical="center" wrapText="1"/>
    </xf>
    <xf numFmtId="3" fontId="0" fillId="0" borderId="11" xfId="0" applyNumberFormat="1" applyFont="1" applyFill="1" applyBorder="1" applyAlignment="1">
      <alignment horizontal="center" vertical="center"/>
    </xf>
    <xf numFmtId="0" fontId="3" fillId="0" borderId="10" xfId="0" applyFont="1" applyFill="1" applyBorder="1" applyAlignment="1">
      <alignment horizontal="center"/>
    </xf>
    <xf numFmtId="0" fontId="3" fillId="0" borderId="11" xfId="0" applyFont="1" applyFill="1" applyBorder="1" applyAlignment="1">
      <alignment horizontal="center"/>
    </xf>
    <xf numFmtId="0" fontId="3" fillId="0" borderId="13" xfId="0" applyFont="1" applyFill="1" applyBorder="1" applyAlignment="1">
      <alignment horizontal="center"/>
    </xf>
    <xf numFmtId="9" fontId="0" fillId="0" borderId="10" xfId="55" applyFont="1" applyFill="1" applyBorder="1" applyAlignment="1">
      <alignment horizontal="center" vertical="center"/>
    </xf>
    <xf numFmtId="9" fontId="0" fillId="0" borderId="13" xfId="55" applyFont="1" applyFill="1" applyBorder="1" applyAlignment="1">
      <alignment horizontal="center" vertical="center"/>
    </xf>
    <xf numFmtId="9" fontId="0" fillId="0" borderId="11" xfId="55" applyFont="1" applyFill="1" applyBorder="1" applyAlignment="1">
      <alignment horizontal="center" vertical="center"/>
    </xf>
    <xf numFmtId="9" fontId="0" fillId="0" borderId="29" xfId="55" applyFont="1" applyFill="1" applyBorder="1" applyAlignment="1">
      <alignment horizontal="center" vertical="center"/>
    </xf>
    <xf numFmtId="9" fontId="0" fillId="0" borderId="27" xfId="55" applyFont="1" applyFill="1" applyBorder="1" applyAlignment="1">
      <alignment horizontal="center" vertical="center"/>
    </xf>
    <xf numFmtId="9" fontId="0" fillId="0" borderId="10" xfId="0" applyNumberFormat="1" applyFill="1" applyBorder="1" applyAlignment="1">
      <alignment horizontal="center" vertical="center"/>
    </xf>
    <xf numFmtId="9" fontId="0" fillId="0" borderId="11" xfId="0" applyNumberFormat="1" applyFill="1" applyBorder="1" applyAlignment="1">
      <alignment horizontal="center" vertical="center"/>
    </xf>
    <xf numFmtId="0" fontId="2" fillId="0" borderId="0" xfId="0" applyFont="1" applyAlignment="1">
      <alignment wrapText="1"/>
    </xf>
    <xf numFmtId="0" fontId="2" fillId="0" borderId="0" xfId="0" applyFont="1" applyFill="1" applyBorder="1" applyAlignment="1">
      <alignment wrapText="1"/>
    </xf>
    <xf numFmtId="0" fontId="6" fillId="0" borderId="28" xfId="0" applyFont="1" applyFill="1" applyBorder="1" applyAlignment="1">
      <alignment wrapText="1"/>
    </xf>
    <xf numFmtId="0" fontId="66" fillId="0" borderId="30" xfId="0" applyFont="1" applyBorder="1" applyAlignment="1">
      <alignment horizontal="center"/>
    </xf>
    <xf numFmtId="0" fontId="66" fillId="0" borderId="21" xfId="0" applyFont="1" applyBorder="1" applyAlignment="1">
      <alignment horizontal="center"/>
    </xf>
    <xf numFmtId="0" fontId="3" fillId="0" borderId="25"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25"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12" xfId="0" applyFont="1" applyBorder="1" applyAlignment="1">
      <alignment horizontal="center"/>
    </xf>
    <xf numFmtId="0" fontId="2" fillId="0" borderId="0" xfId="0" applyFont="1" applyAlignment="1">
      <alignment horizontal="left" wrapText="1"/>
    </xf>
    <xf numFmtId="0" fontId="5" fillId="0" borderId="10" xfId="0" applyFont="1" applyFill="1" applyBorder="1" applyAlignment="1">
      <alignment horizontal="center"/>
    </xf>
    <xf numFmtId="0" fontId="5" fillId="0" borderId="11" xfId="0" applyFont="1" applyFill="1" applyBorder="1" applyAlignment="1">
      <alignment horizontal="center"/>
    </xf>
    <xf numFmtId="0" fontId="6" fillId="0" borderId="28" xfId="0" applyFont="1" applyFill="1" applyBorder="1" applyAlignment="1">
      <alignment horizontal="left" wrapText="1"/>
    </xf>
    <xf numFmtId="0" fontId="6" fillId="0" borderId="0" xfId="0" applyFont="1" applyFill="1" applyBorder="1" applyAlignment="1">
      <alignment horizontal="left" wrapText="1"/>
    </xf>
    <xf numFmtId="0" fontId="0" fillId="0" borderId="0" xfId="0" applyAlignment="1">
      <alignment wrapText="1"/>
    </xf>
    <xf numFmtId="0" fontId="2" fillId="0" borderId="0" xfId="0" applyFont="1" applyFill="1" applyBorder="1" applyAlignment="1">
      <alignment horizontal="left" wrapText="1"/>
    </xf>
    <xf numFmtId="0" fontId="2" fillId="0" borderId="28" xfId="0" applyFont="1" applyFill="1" applyBorder="1" applyAlignment="1">
      <alignment horizontal="left" wrapText="1"/>
    </xf>
    <xf numFmtId="9" fontId="0" fillId="0" borderId="23" xfId="55" applyFont="1" applyFill="1" applyBorder="1" applyAlignment="1">
      <alignment horizontal="center" vertical="center" wrapText="1"/>
    </xf>
    <xf numFmtId="0" fontId="3" fillId="0" borderId="12" xfId="0" applyFont="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4" xfId="0" applyFont="1" applyFill="1" applyBorder="1" applyAlignment="1">
      <alignment horizontal="center"/>
    </xf>
    <xf numFmtId="0" fontId="3" fillId="0" borderId="12" xfId="0" applyFont="1" applyFill="1" applyBorder="1" applyAlignment="1">
      <alignment horizontal="center"/>
    </xf>
    <xf numFmtId="9" fontId="0" fillId="0" borderId="24" xfId="55" applyFont="1" applyFill="1" applyBorder="1" applyAlignment="1">
      <alignment horizontal="center" vertical="center"/>
    </xf>
    <xf numFmtId="164" fontId="0" fillId="0" borderId="12" xfId="55" applyNumberFormat="1" applyFont="1" applyFill="1" applyBorder="1" applyAlignment="1">
      <alignment horizontal="center" vertical="center"/>
    </xf>
    <xf numFmtId="9" fontId="0" fillId="33" borderId="10" xfId="55" applyFont="1" applyFill="1" applyBorder="1" applyAlignment="1">
      <alignment horizontal="center" vertical="center" wrapText="1"/>
    </xf>
    <xf numFmtId="9" fontId="0" fillId="33" borderId="11" xfId="55" applyFont="1" applyFill="1" applyBorder="1" applyAlignment="1">
      <alignment horizontal="center" vertical="center" wrapText="1"/>
    </xf>
    <xf numFmtId="9" fontId="0" fillId="33" borderId="13" xfId="55" applyFont="1" applyFill="1" applyBorder="1" applyAlignment="1">
      <alignment horizontal="center" vertical="center" wrapText="1"/>
    </xf>
    <xf numFmtId="0" fontId="2" fillId="0" borderId="0" xfId="0" applyFont="1" applyAlignment="1">
      <alignment/>
    </xf>
    <xf numFmtId="0" fontId="67" fillId="0" borderId="0" xfId="0" applyFont="1" applyAlignment="1">
      <alignment/>
    </xf>
    <xf numFmtId="9" fontId="0" fillId="0" borderId="12" xfId="55" applyFont="1" applyFill="1" applyBorder="1" applyAlignment="1">
      <alignment horizontal="center" vertical="center"/>
    </xf>
    <xf numFmtId="0" fontId="2" fillId="0" borderId="0" xfId="53" applyFont="1" applyFill="1" applyBorder="1" applyAlignment="1">
      <alignment horizontal="left" vertical="center" wrapText="1"/>
      <protection/>
    </xf>
    <xf numFmtId="0" fontId="3" fillId="0" borderId="0" xfId="53" applyFont="1" applyFill="1" applyBorder="1" applyAlignment="1">
      <alignment horizontal="left" vertical="center" wrapText="1"/>
      <protection/>
    </xf>
    <xf numFmtId="0" fontId="0" fillId="0" borderId="25" xfId="53" applyFont="1" applyFill="1" applyBorder="1" applyAlignment="1">
      <alignment horizontal="center" vertical="center" wrapText="1"/>
      <protection/>
    </xf>
    <xf numFmtId="0" fontId="0" fillId="0" borderId="22" xfId="53" applyFont="1" applyFill="1" applyBorder="1" applyAlignment="1">
      <alignment horizontal="center" vertical="center" wrapText="1"/>
      <protection/>
    </xf>
    <xf numFmtId="0" fontId="0" fillId="0" borderId="15" xfId="53" applyFont="1" applyFill="1" applyBorder="1" applyAlignment="1">
      <alignment horizontal="center" vertical="center" wrapText="1"/>
      <protection/>
    </xf>
    <xf numFmtId="0" fontId="6" fillId="0" borderId="0" xfId="53" applyFont="1" applyFill="1" applyBorder="1" applyAlignment="1">
      <alignment horizontal="left" vertical="center" wrapText="1"/>
      <protection/>
    </xf>
    <xf numFmtId="0" fontId="3" fillId="0" borderId="0" xfId="0" applyFont="1" applyAlignment="1">
      <alignment horizontal="left" wrapText="1"/>
    </xf>
    <xf numFmtId="0" fontId="3" fillId="0" borderId="20" xfId="0" applyFont="1" applyBorder="1" applyAlignment="1">
      <alignment horizontal="left" wrapText="1"/>
    </xf>
    <xf numFmtId="0" fontId="3" fillId="0" borderId="0" xfId="0" applyFont="1" applyBorder="1" applyAlignment="1">
      <alignment horizontal="left" wrapText="1"/>
    </xf>
    <xf numFmtId="0" fontId="6" fillId="0" borderId="28" xfId="0" applyFont="1" applyBorder="1" applyAlignment="1">
      <alignment horizontal="left" wrapText="1"/>
    </xf>
    <xf numFmtId="0" fontId="6" fillId="0" borderId="0" xfId="0" applyFont="1" applyBorder="1" applyAlignment="1">
      <alignment horizontal="left" wrapText="1"/>
    </xf>
    <xf numFmtId="0" fontId="2" fillId="0" borderId="0" xfId="0" applyFont="1" applyFill="1" applyAlignment="1">
      <alignment horizontal="left" wrapText="1"/>
    </xf>
    <xf numFmtId="0" fontId="6" fillId="0" borderId="0" xfId="0" applyFont="1" applyFill="1" applyAlignment="1">
      <alignment horizontal="left" wrapText="1"/>
    </xf>
    <xf numFmtId="0" fontId="3" fillId="0" borderId="0" xfId="0" applyFont="1" applyFill="1" applyBorder="1" applyAlignment="1">
      <alignment horizontal="left" vertical="center" wrapText="1"/>
    </xf>
    <xf numFmtId="0" fontId="2" fillId="0" borderId="0" xfId="0" applyFont="1" applyFill="1" applyAlignment="1">
      <alignment wrapText="1"/>
    </xf>
    <xf numFmtId="0" fontId="0" fillId="0" borderId="0" xfId="0" applyFont="1" applyFill="1" applyAlignment="1">
      <alignment wrapText="1"/>
    </xf>
    <xf numFmtId="0" fontId="2" fillId="0" borderId="0" xfId="0" applyFont="1" applyFill="1" applyAlignment="1">
      <alignment horizontal="left"/>
    </xf>
    <xf numFmtId="0" fontId="6" fillId="0" borderId="28" xfId="0" applyFont="1" applyBorder="1" applyAlignment="1">
      <alignment horizontal="left" vertical="center" wrapText="1"/>
    </xf>
    <xf numFmtId="0" fontId="2" fillId="0" borderId="0" xfId="0" applyFont="1" applyAlignment="1">
      <alignment horizontal="left" vertical="center"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 2" xfId="49"/>
    <cellStyle name="Currency" xfId="50"/>
    <cellStyle name="Currency [0]" xfId="51"/>
    <cellStyle name="Neutre" xfId="52"/>
    <cellStyle name="Normal 2" xfId="53"/>
    <cellStyle name="Normal 3"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1"/>
          <c:order val="1"/>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2"/>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overlap val="100"/>
        <c:axId val="10682478"/>
        <c:axId val="29033439"/>
      </c:barChart>
      <c:catAx>
        <c:axId val="1068247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29033439"/>
        <c:crosses val="autoZero"/>
        <c:auto val="1"/>
        <c:lblOffset val="100"/>
        <c:tickLblSkip val="1"/>
        <c:noMultiLvlLbl val="0"/>
      </c:catAx>
      <c:valAx>
        <c:axId val="29033439"/>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5" b="0" i="0" u="none" baseline="0">
                <a:solidFill>
                  <a:srgbClr val="000000"/>
                </a:solidFill>
                <a:latin typeface="Arial"/>
                <a:ea typeface="Arial"/>
                <a:cs typeface="Arial"/>
              </a:defRPr>
            </a:pPr>
          </a:p>
        </c:txPr>
        <c:crossAx val="10682478"/>
        <c:crossesAt val="1"/>
        <c:crossBetween val="between"/>
        <c:dispUnits/>
      </c:valAx>
      <c:spPr>
        <a:no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72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xdr:row>
      <xdr:rowOff>161925</xdr:rowOff>
    </xdr:from>
    <xdr:to>
      <xdr:col>2</xdr:col>
      <xdr:colOff>0</xdr:colOff>
      <xdr:row>17</xdr:row>
      <xdr:rowOff>0</xdr:rowOff>
    </xdr:to>
    <xdr:graphicFrame>
      <xdr:nvGraphicFramePr>
        <xdr:cNvPr id="1" name="Chart 1"/>
        <xdr:cNvGraphicFramePr/>
      </xdr:nvGraphicFramePr>
      <xdr:xfrm>
        <a:off x="2352675" y="323850"/>
        <a:ext cx="0" cy="2695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4"/>
  <sheetViews>
    <sheetView tabSelected="1" zoomScalePageLayoutView="0" workbookViewId="0" topLeftCell="A1">
      <selection activeCell="A13" sqref="A13:E13"/>
    </sheetView>
  </sheetViews>
  <sheetFormatPr defaultColWidth="20.7109375" defaultRowHeight="12.75"/>
  <cols>
    <col min="1" max="1" width="25.57421875" style="0" customWidth="1"/>
  </cols>
  <sheetData>
    <row r="1" spans="1:5" ht="12.75" customHeight="1">
      <c r="A1" s="148" t="s">
        <v>40</v>
      </c>
      <c r="B1" s="148"/>
      <c r="C1" s="148"/>
      <c r="D1" s="148"/>
      <c r="E1" s="148"/>
    </row>
    <row r="2" spans="1:5" ht="12.75">
      <c r="A2" s="148"/>
      <c r="B2" s="148"/>
      <c r="C2" s="148"/>
      <c r="D2" s="148"/>
      <c r="E2" s="148"/>
    </row>
    <row r="3" ht="12.75">
      <c r="A3" s="12" t="s">
        <v>17</v>
      </c>
    </row>
    <row r="4" spans="1:5" ht="12.75">
      <c r="A4" s="152"/>
      <c r="B4" s="149" t="s">
        <v>31</v>
      </c>
      <c r="C4" s="150"/>
      <c r="D4" s="150"/>
      <c r="E4" s="151"/>
    </row>
    <row r="5" spans="1:5" ht="22.5">
      <c r="A5" s="153"/>
      <c r="B5" s="30" t="s">
        <v>35</v>
      </c>
      <c r="C5" s="31" t="s">
        <v>32</v>
      </c>
      <c r="D5" s="32" t="s">
        <v>33</v>
      </c>
      <c r="E5" s="33" t="s">
        <v>34</v>
      </c>
    </row>
    <row r="6" spans="1:5" ht="12.75">
      <c r="A6" s="111" t="s">
        <v>75</v>
      </c>
      <c r="B6" s="15">
        <v>6.6</v>
      </c>
      <c r="C6" s="18">
        <v>5.3</v>
      </c>
      <c r="D6" s="19">
        <v>0.7</v>
      </c>
      <c r="E6" s="20">
        <v>0.5</v>
      </c>
    </row>
    <row r="7" spans="1:5" ht="12.75">
      <c r="A7" s="27" t="s">
        <v>18</v>
      </c>
      <c r="B7" s="15">
        <v>8.5</v>
      </c>
      <c r="C7" s="18">
        <v>6.8</v>
      </c>
      <c r="D7" s="19">
        <v>1.2</v>
      </c>
      <c r="E7" s="20">
        <v>0.5</v>
      </c>
    </row>
    <row r="8" spans="1:5" ht="13.5" thickBot="1">
      <c r="A8" s="29" t="s">
        <v>19</v>
      </c>
      <c r="B8" s="16">
        <v>12.9</v>
      </c>
      <c r="C8" s="21">
        <v>10.2</v>
      </c>
      <c r="D8" s="22">
        <v>1.5</v>
      </c>
      <c r="E8" s="23">
        <v>1.2</v>
      </c>
    </row>
    <row r="9" spans="1:5" ht="13.5" thickTop="1">
      <c r="A9" s="110" t="s">
        <v>73</v>
      </c>
      <c r="B9" s="17">
        <v>8.6</v>
      </c>
      <c r="C9" s="24">
        <v>6.9</v>
      </c>
      <c r="D9" s="25">
        <v>1</v>
      </c>
      <c r="E9" s="26">
        <v>0.6</v>
      </c>
    </row>
    <row r="10" spans="1:5" ht="12.75">
      <c r="A10" s="28" t="s">
        <v>20</v>
      </c>
      <c r="B10" s="15">
        <v>9.1</v>
      </c>
      <c r="C10" s="18">
        <v>6.6</v>
      </c>
      <c r="D10" s="19">
        <v>1.2</v>
      </c>
      <c r="E10" s="20">
        <v>1.3</v>
      </c>
    </row>
    <row r="11" spans="1:5" ht="24.75" customHeight="1">
      <c r="A11" s="225" t="s">
        <v>78</v>
      </c>
      <c r="B11" s="225"/>
      <c r="C11" s="225"/>
      <c r="D11" s="225"/>
      <c r="E11" s="225"/>
    </row>
    <row r="12" ht="12.75">
      <c r="A12" s="34" t="s">
        <v>36</v>
      </c>
    </row>
    <row r="13" spans="1:5" ht="23.25" customHeight="1">
      <c r="A13" s="226" t="s">
        <v>37</v>
      </c>
      <c r="B13" s="226"/>
      <c r="C13" s="226"/>
      <c r="D13" s="226"/>
      <c r="E13" s="226"/>
    </row>
    <row r="14" ht="12.75">
      <c r="A14" s="35" t="s">
        <v>38</v>
      </c>
    </row>
  </sheetData>
  <sheetProtection/>
  <mergeCells count="5">
    <mergeCell ref="A1:E2"/>
    <mergeCell ref="B4:E4"/>
    <mergeCell ref="A4:A5"/>
    <mergeCell ref="A11:E11"/>
    <mergeCell ref="A13:E13"/>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G15"/>
  <sheetViews>
    <sheetView zoomScalePageLayoutView="0" workbookViewId="0" topLeftCell="A1">
      <selection activeCell="C17" sqref="C17"/>
    </sheetView>
  </sheetViews>
  <sheetFormatPr defaultColWidth="11.421875" defaultRowHeight="12.75"/>
  <cols>
    <col min="1" max="1" width="24.7109375" style="8" customWidth="1"/>
  </cols>
  <sheetData>
    <row r="1" spans="1:7" ht="12.75" customHeight="1">
      <c r="A1" s="214" t="s">
        <v>114</v>
      </c>
      <c r="B1" s="214"/>
      <c r="C1" s="214"/>
      <c r="D1" s="214"/>
      <c r="E1" s="214"/>
      <c r="F1" s="214"/>
      <c r="G1" s="214"/>
    </row>
    <row r="2" spans="1:7" ht="12.75">
      <c r="A2" s="215"/>
      <c r="B2" s="215"/>
      <c r="C2" s="215"/>
      <c r="D2" s="215"/>
      <c r="E2" s="215"/>
      <c r="F2" s="215"/>
      <c r="G2" s="215"/>
    </row>
    <row r="3" spans="1:7" ht="51">
      <c r="A3" s="65"/>
      <c r="B3" s="65" t="s">
        <v>51</v>
      </c>
      <c r="C3" s="65" t="s">
        <v>52</v>
      </c>
      <c r="D3" s="65" t="s">
        <v>53</v>
      </c>
      <c r="E3" s="65" t="s">
        <v>120</v>
      </c>
      <c r="F3" s="65" t="s">
        <v>52</v>
      </c>
      <c r="G3" s="65" t="s">
        <v>53</v>
      </c>
    </row>
    <row r="4" spans="1:7" ht="25.5">
      <c r="A4" s="88" t="s">
        <v>54</v>
      </c>
      <c r="B4" s="142">
        <v>0.03692195211113142</v>
      </c>
      <c r="C4" s="143">
        <v>0.395</v>
      </c>
      <c r="D4" s="144">
        <v>38.9</v>
      </c>
      <c r="E4" s="142">
        <v>0.03294979079497908</v>
      </c>
      <c r="F4" s="143">
        <v>0.476</v>
      </c>
      <c r="G4" s="145">
        <v>45.1</v>
      </c>
    </row>
    <row r="5" spans="1:7" ht="25.5">
      <c r="A5" s="88" t="s">
        <v>127</v>
      </c>
      <c r="B5" s="142">
        <v>0.00795101443977335</v>
      </c>
      <c r="C5" s="143">
        <v>0.546</v>
      </c>
      <c r="D5" s="144">
        <v>51.8</v>
      </c>
      <c r="E5" s="142">
        <v>0.005753138075313808</v>
      </c>
      <c r="F5" s="142">
        <v>0.727</v>
      </c>
      <c r="G5" s="144">
        <v>22.4</v>
      </c>
    </row>
    <row r="6" spans="1:7" ht="25.5">
      <c r="A6" s="88" t="s">
        <v>128</v>
      </c>
      <c r="B6" s="142">
        <v>0.14946993237068176</v>
      </c>
      <c r="C6" s="143">
        <v>0.569</v>
      </c>
      <c r="D6" s="144">
        <v>50.5</v>
      </c>
      <c r="E6" s="142">
        <v>0.10826359832635983</v>
      </c>
      <c r="F6" s="142">
        <v>0.671</v>
      </c>
      <c r="G6" s="144">
        <v>53.9</v>
      </c>
    </row>
    <row r="7" spans="1:7" ht="25.5">
      <c r="A7" s="88" t="s">
        <v>55</v>
      </c>
      <c r="B7" s="142">
        <v>0.4299945165417657</v>
      </c>
      <c r="C7" s="143">
        <v>0.423</v>
      </c>
      <c r="D7" s="144">
        <v>51.4</v>
      </c>
      <c r="E7" s="142">
        <v>0.4555439330543933</v>
      </c>
      <c r="F7" s="142">
        <v>0.614</v>
      </c>
      <c r="G7" s="144">
        <v>49.2</v>
      </c>
    </row>
    <row r="8" spans="1:7" ht="25.5">
      <c r="A8" s="88" t="s">
        <v>56</v>
      </c>
      <c r="B8" s="142">
        <v>0.19571376348016817</v>
      </c>
      <c r="C8" s="143">
        <v>0.441</v>
      </c>
      <c r="D8" s="144">
        <v>45</v>
      </c>
      <c r="E8" s="142">
        <v>0.23901673640167365</v>
      </c>
      <c r="F8" s="142">
        <v>0.615</v>
      </c>
      <c r="G8" s="144">
        <v>47.2</v>
      </c>
    </row>
    <row r="9" spans="1:7" ht="25.5">
      <c r="A9" s="88" t="s">
        <v>57</v>
      </c>
      <c r="B9" s="142">
        <v>0.06205446901846098</v>
      </c>
      <c r="C9" s="143">
        <v>0.562</v>
      </c>
      <c r="D9" s="144">
        <v>39</v>
      </c>
      <c r="E9" s="142">
        <v>0.06328451882845189</v>
      </c>
      <c r="F9" s="142">
        <v>0.628</v>
      </c>
      <c r="G9" s="144">
        <v>45.3</v>
      </c>
    </row>
    <row r="10" spans="1:7" ht="25.5">
      <c r="A10" s="88" t="s">
        <v>77</v>
      </c>
      <c r="B10" s="142">
        <v>0.040623286419301775</v>
      </c>
      <c r="C10" s="143">
        <v>0.613</v>
      </c>
      <c r="D10" s="144">
        <v>49.4</v>
      </c>
      <c r="E10" s="142">
        <v>0.04654811715481171</v>
      </c>
      <c r="F10" s="142">
        <v>0.764</v>
      </c>
      <c r="G10" s="144">
        <v>73.6</v>
      </c>
    </row>
    <row r="11" spans="1:7" ht="12.75">
      <c r="A11" s="88" t="s">
        <v>58</v>
      </c>
      <c r="B11" s="142">
        <v>0.07727106561871687</v>
      </c>
      <c r="C11" s="143">
        <v>0.518</v>
      </c>
      <c r="D11" s="144">
        <v>61.3</v>
      </c>
      <c r="E11" s="142">
        <v>0.04864016736401674</v>
      </c>
      <c r="F11" s="142">
        <v>0.624</v>
      </c>
      <c r="G11" s="144">
        <v>41.8</v>
      </c>
    </row>
    <row r="12" spans="1:7" ht="12.75">
      <c r="A12" s="89" t="s">
        <v>59</v>
      </c>
      <c r="B12" s="71">
        <v>1</v>
      </c>
      <c r="C12" s="72">
        <v>0.4719743648327545</v>
      </c>
      <c r="D12" s="73">
        <v>49.502694476074254</v>
      </c>
      <c r="E12" s="71">
        <v>1</v>
      </c>
      <c r="F12" s="72">
        <v>0.6248676778242678</v>
      </c>
      <c r="G12" s="73">
        <v>49.774806130502945</v>
      </c>
    </row>
    <row r="13" spans="1:7" ht="12.75" customHeight="1">
      <c r="A13" s="217" t="s">
        <v>121</v>
      </c>
      <c r="B13" s="217"/>
      <c r="C13" s="217"/>
      <c r="D13" s="217"/>
      <c r="E13" s="217"/>
      <c r="F13" s="217"/>
      <c r="G13" s="217"/>
    </row>
    <row r="14" spans="1:7" ht="12.75" customHeight="1">
      <c r="A14" s="186" t="s">
        <v>136</v>
      </c>
      <c r="B14" s="186"/>
      <c r="C14" s="186"/>
      <c r="D14" s="186"/>
      <c r="E14" s="186"/>
      <c r="F14" s="186"/>
      <c r="G14" s="186"/>
    </row>
    <row r="15" spans="1:7" ht="12.75" customHeight="1">
      <c r="A15" s="186" t="s">
        <v>115</v>
      </c>
      <c r="B15" s="186"/>
      <c r="C15" s="186"/>
      <c r="D15" s="186"/>
      <c r="E15" s="186"/>
      <c r="F15" s="186"/>
      <c r="G15" s="186"/>
    </row>
  </sheetData>
  <sheetProtection/>
  <mergeCells count="4">
    <mergeCell ref="A14:G14"/>
    <mergeCell ref="A15:G15"/>
    <mergeCell ref="A1:G2"/>
    <mergeCell ref="A13:G13"/>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33"/>
  <sheetViews>
    <sheetView zoomScalePageLayoutView="0" workbookViewId="0" topLeftCell="A10">
      <selection activeCell="A24" sqref="A24"/>
    </sheetView>
  </sheetViews>
  <sheetFormatPr defaultColWidth="9.140625" defaultRowHeight="12.75"/>
  <cols>
    <col min="1" max="1" width="36.57421875" style="64" customWidth="1"/>
    <col min="2" max="2" width="18.8515625" style="64" customWidth="1"/>
    <col min="3" max="3" width="18.8515625" style="64" bestFit="1" customWidth="1"/>
    <col min="4" max="4" width="12.00390625" style="64" customWidth="1"/>
    <col min="5" max="5" width="12.140625" style="64" customWidth="1"/>
    <col min="6" max="6" width="10.28125" style="64" bestFit="1" customWidth="1"/>
    <col min="7" max="16384" width="9.140625" style="64" customWidth="1"/>
  </cols>
  <sheetData>
    <row r="1" spans="1:13" ht="13.5" customHeight="1">
      <c r="A1" s="1" t="s">
        <v>97</v>
      </c>
      <c r="B1" s="1"/>
      <c r="C1"/>
      <c r="D1"/>
      <c r="E1"/>
      <c r="F1"/>
      <c r="G1"/>
      <c r="H1"/>
      <c r="I1"/>
      <c r="J1"/>
      <c r="K1"/>
      <c r="L1"/>
      <c r="M1"/>
    </row>
    <row r="2" spans="1:13" ht="13.5" customHeight="1">
      <c r="A2" s="1"/>
      <c r="B2" s="1"/>
      <c r="C2"/>
      <c r="D2"/>
      <c r="E2"/>
      <c r="F2"/>
      <c r="G2"/>
      <c r="H2"/>
      <c r="I2"/>
      <c r="J2"/>
      <c r="K2"/>
      <c r="L2"/>
      <c r="M2"/>
    </row>
    <row r="3" spans="1:13" ht="12.75" customHeight="1">
      <c r="A3" s="173"/>
      <c r="B3" s="175" t="s">
        <v>8</v>
      </c>
      <c r="C3" s="178" t="s">
        <v>98</v>
      </c>
      <c r="D3" s="181" t="s">
        <v>39</v>
      </c>
      <c r="E3" s="182"/>
      <c r="F3" s="185" t="s">
        <v>12</v>
      </c>
      <c r="G3" s="185"/>
      <c r="H3" s="185"/>
      <c r="I3" s="185"/>
      <c r="J3" s="185"/>
      <c r="K3" s="185"/>
      <c r="L3" s="185"/>
      <c r="M3" s="185"/>
    </row>
    <row r="4" spans="1:13" ht="12.75" customHeight="1">
      <c r="A4" s="173"/>
      <c r="B4" s="176"/>
      <c r="C4" s="179"/>
      <c r="D4" s="183"/>
      <c r="E4" s="184"/>
      <c r="F4" s="160" t="s">
        <v>0</v>
      </c>
      <c r="G4" s="162"/>
      <c r="H4" s="160" t="s">
        <v>3</v>
      </c>
      <c r="I4" s="161"/>
      <c r="J4" s="160" t="s">
        <v>5</v>
      </c>
      <c r="K4" s="161"/>
      <c r="L4" s="162" t="s">
        <v>4</v>
      </c>
      <c r="M4" s="161"/>
    </row>
    <row r="5" spans="1:13" ht="12.75" customHeight="1">
      <c r="A5" s="174"/>
      <c r="B5" s="177"/>
      <c r="C5" s="180"/>
      <c r="D5" s="2" t="s">
        <v>1</v>
      </c>
      <c r="E5" s="3" t="s">
        <v>2</v>
      </c>
      <c r="F5" s="2" t="s">
        <v>1</v>
      </c>
      <c r="G5" s="9" t="s">
        <v>2</v>
      </c>
      <c r="H5" s="2" t="s">
        <v>1</v>
      </c>
      <c r="I5" s="3" t="s">
        <v>2</v>
      </c>
      <c r="J5" s="2" t="s">
        <v>1</v>
      </c>
      <c r="K5" s="3" t="s">
        <v>2</v>
      </c>
      <c r="L5" s="9" t="s">
        <v>1</v>
      </c>
      <c r="M5" s="3" t="s">
        <v>2</v>
      </c>
    </row>
    <row r="6" spans="1:13" ht="25.5">
      <c r="A6" s="11" t="s">
        <v>79</v>
      </c>
      <c r="B6" s="44">
        <v>1</v>
      </c>
      <c r="C6" s="45">
        <v>36</v>
      </c>
      <c r="D6" s="46">
        <f>16/C6</f>
        <v>0.4444444444444444</v>
      </c>
      <c r="E6" s="47">
        <f>20/C6</f>
        <v>0.5555555555555556</v>
      </c>
      <c r="F6" s="48">
        <f>5/16</f>
        <v>0.3125</v>
      </c>
      <c r="G6" s="50">
        <f>7/20</f>
        <v>0.35</v>
      </c>
      <c r="H6" s="48">
        <f>11/16</f>
        <v>0.6875</v>
      </c>
      <c r="I6" s="49">
        <f>13/20</f>
        <v>0.65</v>
      </c>
      <c r="J6" s="48">
        <f>10/16</f>
        <v>0.625</v>
      </c>
      <c r="K6" s="49">
        <f>10/20</f>
        <v>0.5</v>
      </c>
      <c r="L6" s="74">
        <f>0</f>
        <v>0</v>
      </c>
      <c r="M6" s="47">
        <f>0</f>
        <v>0</v>
      </c>
    </row>
    <row r="7" spans="1:13" ht="24">
      <c r="A7" s="11" t="s">
        <v>116</v>
      </c>
      <c r="B7" s="44" t="s">
        <v>99</v>
      </c>
      <c r="C7" s="45">
        <v>318</v>
      </c>
      <c r="D7" s="46">
        <f>148/C7</f>
        <v>0.46540880503144655</v>
      </c>
      <c r="E7" s="47">
        <f>170/C7</f>
        <v>0.5345911949685535</v>
      </c>
      <c r="F7" s="48">
        <f>44/148</f>
        <v>0.2972972972972973</v>
      </c>
      <c r="G7" s="50">
        <f>45/170</f>
        <v>0.2647058823529412</v>
      </c>
      <c r="H7" s="48">
        <f>104/148</f>
        <v>0.7027027027027027</v>
      </c>
      <c r="I7" s="49">
        <f>125/170</f>
        <v>0.7352941176470589</v>
      </c>
      <c r="J7" s="48">
        <f>65/148</f>
        <v>0.4391891891891892</v>
      </c>
      <c r="K7" s="49">
        <f>87/170</f>
        <v>0.5117647058823529</v>
      </c>
      <c r="L7" s="74">
        <v>0</v>
      </c>
      <c r="M7" s="47">
        <v>0</v>
      </c>
    </row>
    <row r="8" spans="1:14" ht="36">
      <c r="A8" s="11" t="s">
        <v>80</v>
      </c>
      <c r="B8" s="137" t="s">
        <v>100</v>
      </c>
      <c r="C8" s="45">
        <v>1186</v>
      </c>
      <c r="D8" s="46">
        <f>505/C8</f>
        <v>0.4258010118043845</v>
      </c>
      <c r="E8" s="47">
        <f>681/C8</f>
        <v>0.5741989881956155</v>
      </c>
      <c r="F8" s="130">
        <f>204/505</f>
        <v>0.403960396039604</v>
      </c>
      <c r="G8" s="50">
        <f>284/681</f>
        <v>0.4170337738619677</v>
      </c>
      <c r="H8" s="130">
        <f>300/505</f>
        <v>0.594059405940594</v>
      </c>
      <c r="I8" s="49">
        <f>397/681</f>
        <v>0.5829662261380323</v>
      </c>
      <c r="J8" s="48">
        <f>257/505</f>
        <v>0.5089108910891089</v>
      </c>
      <c r="K8" s="49">
        <f>323/681</f>
        <v>0.47430249632892807</v>
      </c>
      <c r="L8" s="118">
        <f>1/505</f>
        <v>0.0019801980198019802</v>
      </c>
      <c r="M8" s="47">
        <v>0</v>
      </c>
      <c r="N8" s="129"/>
    </row>
    <row r="9" spans="1:13" ht="12.75">
      <c r="A9" s="51" t="s">
        <v>76</v>
      </c>
      <c r="B9" s="44">
        <v>1</v>
      </c>
      <c r="C9" s="45">
        <v>42</v>
      </c>
      <c r="D9" s="46">
        <f>13/C9</f>
        <v>0.30952380952380953</v>
      </c>
      <c r="E9" s="47">
        <f>29/C9</f>
        <v>0.6904761904761905</v>
      </c>
      <c r="F9" s="48">
        <f>7/13</f>
        <v>0.5384615384615384</v>
      </c>
      <c r="G9" s="50">
        <f>11/29</f>
        <v>0.3793103448275862</v>
      </c>
      <c r="H9" s="48">
        <f>6/13</f>
        <v>0.46153846153846156</v>
      </c>
      <c r="I9" s="49">
        <f>18/29</f>
        <v>0.6206896551724138</v>
      </c>
      <c r="J9" s="48">
        <f>4/13</f>
        <v>0.3076923076923077</v>
      </c>
      <c r="K9" s="49">
        <f>8/29</f>
        <v>0.27586206896551724</v>
      </c>
      <c r="L9" s="74">
        <v>0</v>
      </c>
      <c r="M9" s="47">
        <v>0</v>
      </c>
    </row>
    <row r="10" spans="1:13" ht="12.75">
      <c r="A10" s="11" t="s">
        <v>14</v>
      </c>
      <c r="B10" s="44" t="s">
        <v>101</v>
      </c>
      <c r="C10" s="45">
        <f>211+246</f>
        <v>457</v>
      </c>
      <c r="D10" s="46">
        <f>211/C10</f>
        <v>0.4617067833698031</v>
      </c>
      <c r="E10" s="47">
        <f>246/C10</f>
        <v>0.5382932166301969</v>
      </c>
      <c r="F10" s="156" t="s">
        <v>7</v>
      </c>
      <c r="G10" s="158"/>
      <c r="H10" s="156" t="s">
        <v>7</v>
      </c>
      <c r="I10" s="158"/>
      <c r="J10" s="48">
        <f>70/211</f>
        <v>0.33175355450236965</v>
      </c>
      <c r="K10" s="49">
        <f>107/246</f>
        <v>0.4349593495934959</v>
      </c>
      <c r="L10" s="123">
        <v>0</v>
      </c>
      <c r="M10" s="124">
        <v>0</v>
      </c>
    </row>
    <row r="11" spans="1:14" ht="12.75">
      <c r="A11" s="51" t="s">
        <v>6</v>
      </c>
      <c r="B11" s="44">
        <v>1</v>
      </c>
      <c r="C11" s="45">
        <v>518</v>
      </c>
      <c r="D11" s="46">
        <f>196/C11</f>
        <v>0.3783783783783784</v>
      </c>
      <c r="E11" s="47">
        <f>322/C11</f>
        <v>0.6216216216216216</v>
      </c>
      <c r="F11" s="130">
        <f>82/196</f>
        <v>0.41836734693877553</v>
      </c>
      <c r="G11" s="50">
        <f>158/322</f>
        <v>0.4906832298136646</v>
      </c>
      <c r="H11" s="130">
        <f>113/196</f>
        <v>0.576530612244898</v>
      </c>
      <c r="I11" s="49">
        <f>164/322</f>
        <v>0.5093167701863354</v>
      </c>
      <c r="J11" s="48">
        <f>94/196</f>
        <v>0.47959183673469385</v>
      </c>
      <c r="K11" s="49">
        <f>139/322</f>
        <v>0.43167701863354035</v>
      </c>
      <c r="L11" s="118">
        <f>1/196</f>
        <v>0.00510204081632653</v>
      </c>
      <c r="M11" s="47">
        <v>0</v>
      </c>
      <c r="N11" s="129"/>
    </row>
    <row r="12" spans="1:13" ht="13.5">
      <c r="A12" s="51" t="s">
        <v>81</v>
      </c>
      <c r="B12" s="44" t="s">
        <v>7</v>
      </c>
      <c r="C12" s="45" t="s">
        <v>7</v>
      </c>
      <c r="D12" s="46" t="s">
        <v>7</v>
      </c>
      <c r="E12" s="47" t="s">
        <v>7</v>
      </c>
      <c r="F12" s="48" t="s">
        <v>7</v>
      </c>
      <c r="G12" s="50" t="s">
        <v>7</v>
      </c>
      <c r="H12" s="48" t="s">
        <v>7</v>
      </c>
      <c r="I12" s="49" t="s">
        <v>7</v>
      </c>
      <c r="J12" s="48" t="s">
        <v>7</v>
      </c>
      <c r="K12" s="49" t="s">
        <v>7</v>
      </c>
      <c r="L12" s="74" t="s">
        <v>7</v>
      </c>
      <c r="M12" s="47" t="s">
        <v>7</v>
      </c>
    </row>
    <row r="13" spans="1:13" ht="39" customHeight="1">
      <c r="A13" s="11" t="s">
        <v>82</v>
      </c>
      <c r="B13" s="44">
        <v>0.8658</v>
      </c>
      <c r="C13" s="45">
        <f>974+259</f>
        <v>1233</v>
      </c>
      <c r="D13" s="46">
        <f>974/1233</f>
        <v>0.7899432278994323</v>
      </c>
      <c r="E13" s="47">
        <f>259/1233</f>
        <v>0.21005677210056772</v>
      </c>
      <c r="F13" s="156" t="s">
        <v>7</v>
      </c>
      <c r="G13" s="158"/>
      <c r="H13" s="156" t="s">
        <v>7</v>
      </c>
      <c r="I13" s="158"/>
      <c r="J13" s="156">
        <f>577/C13</f>
        <v>0.46796431467964317</v>
      </c>
      <c r="K13" s="158"/>
      <c r="L13" s="118">
        <f>2/974</f>
        <v>0.002053388090349076</v>
      </c>
      <c r="M13" s="47">
        <f>0</f>
        <v>0</v>
      </c>
    </row>
    <row r="14" spans="1:13" ht="36">
      <c r="A14" s="11" t="s">
        <v>70</v>
      </c>
      <c r="B14" s="44">
        <v>1</v>
      </c>
      <c r="C14" s="45">
        <v>80</v>
      </c>
      <c r="D14" s="46">
        <f>56/80</f>
        <v>0.7</v>
      </c>
      <c r="E14" s="47">
        <f>24/80</f>
        <v>0.3</v>
      </c>
      <c r="F14" s="156" t="s">
        <v>7</v>
      </c>
      <c r="G14" s="157"/>
      <c r="H14" s="156" t="s">
        <v>7</v>
      </c>
      <c r="I14" s="158"/>
      <c r="J14" s="48">
        <f>23/56</f>
        <v>0.4107142857142857</v>
      </c>
      <c r="K14" s="49">
        <f>11/24</f>
        <v>0.4583333333333333</v>
      </c>
      <c r="L14" s="74">
        <v>0</v>
      </c>
      <c r="M14" s="47">
        <v>0</v>
      </c>
    </row>
    <row r="15" spans="1:13" ht="13.5">
      <c r="A15" s="84" t="s">
        <v>83</v>
      </c>
      <c r="B15" s="44">
        <v>1</v>
      </c>
      <c r="C15" s="45">
        <f>2692+8829</f>
        <v>11521</v>
      </c>
      <c r="D15" s="46">
        <f>2692/C15</f>
        <v>0.23366027254578595</v>
      </c>
      <c r="E15" s="47">
        <f>8829/C15</f>
        <v>0.7663397274542141</v>
      </c>
      <c r="F15" s="154" t="s">
        <v>7</v>
      </c>
      <c r="G15" s="155"/>
      <c r="H15" s="154" t="s">
        <v>7</v>
      </c>
      <c r="I15" s="159"/>
      <c r="J15" s="154" t="s">
        <v>7</v>
      </c>
      <c r="K15" s="159"/>
      <c r="L15" s="155" t="s">
        <v>7</v>
      </c>
      <c r="M15" s="159"/>
    </row>
    <row r="16" spans="1:14" ht="13.5">
      <c r="A16" s="51" t="s">
        <v>84</v>
      </c>
      <c r="B16" s="44">
        <v>0.74</v>
      </c>
      <c r="C16" s="52">
        <v>2827</v>
      </c>
      <c r="D16" s="154" t="s">
        <v>7</v>
      </c>
      <c r="E16" s="159"/>
      <c r="F16" s="163">
        <f>1462/C16</f>
        <v>0.5171559957552175</v>
      </c>
      <c r="G16" s="164"/>
      <c r="H16" s="163">
        <f>1365/C16</f>
        <v>0.48284400424478247</v>
      </c>
      <c r="I16" s="165"/>
      <c r="J16" s="166">
        <f>1188/C16</f>
        <v>0.42023346303501946</v>
      </c>
      <c r="K16" s="167"/>
      <c r="L16" s="74">
        <v>0</v>
      </c>
      <c r="M16" s="47">
        <v>0</v>
      </c>
      <c r="N16" s="117"/>
    </row>
    <row r="17" spans="1:13" ht="12.75">
      <c r="A17" s="11" t="s">
        <v>15</v>
      </c>
      <c r="B17" s="44">
        <v>1</v>
      </c>
      <c r="C17" s="45">
        <v>104</v>
      </c>
      <c r="D17" s="46">
        <f>67/104</f>
        <v>0.6442307692307693</v>
      </c>
      <c r="E17" s="47">
        <f>37/104</f>
        <v>0.3557692307692308</v>
      </c>
      <c r="F17" s="154" t="s">
        <v>7</v>
      </c>
      <c r="G17" s="155"/>
      <c r="H17" s="154" t="s">
        <v>7</v>
      </c>
      <c r="I17" s="155"/>
      <c r="J17" s="46">
        <f>57/67</f>
        <v>0.8507462686567164</v>
      </c>
      <c r="K17" s="47">
        <f>30/37</f>
        <v>0.8108108108108109</v>
      </c>
      <c r="L17" s="74">
        <v>0</v>
      </c>
      <c r="M17" s="47">
        <v>0</v>
      </c>
    </row>
    <row r="18" spans="1:13" ht="13.5">
      <c r="A18" s="11" t="s">
        <v>85</v>
      </c>
      <c r="B18" s="44">
        <v>1</v>
      </c>
      <c r="C18" s="45">
        <v>13377</v>
      </c>
      <c r="D18" s="46">
        <f>11009/C18</f>
        <v>0.8229797413470883</v>
      </c>
      <c r="E18" s="47">
        <f>2368/C18</f>
        <v>0.1770202586529117</v>
      </c>
      <c r="F18" s="168" t="s">
        <v>7</v>
      </c>
      <c r="G18" s="169"/>
      <c r="H18" s="163" t="s">
        <v>7</v>
      </c>
      <c r="I18" s="165"/>
      <c r="J18" s="132">
        <f>3452/11009</f>
        <v>0.31356163139249704</v>
      </c>
      <c r="K18" s="133">
        <f>563/2368</f>
        <v>0.23775337837837837</v>
      </c>
      <c r="L18" s="155" t="s">
        <v>7</v>
      </c>
      <c r="M18" s="159"/>
    </row>
    <row r="19" spans="1:13" ht="12.75">
      <c r="A19" s="11" t="s">
        <v>16</v>
      </c>
      <c r="B19" s="53">
        <v>0.7</v>
      </c>
      <c r="C19" s="54">
        <v>569</v>
      </c>
      <c r="D19" s="46">
        <f>194/C19</f>
        <v>0.3409490333919156</v>
      </c>
      <c r="E19" s="47">
        <f>375/C19</f>
        <v>0.6590509666080844</v>
      </c>
      <c r="F19" s="46">
        <f>66/194</f>
        <v>0.3402061855670103</v>
      </c>
      <c r="G19" s="74">
        <f>174/375</f>
        <v>0.464</v>
      </c>
      <c r="H19" s="46">
        <f>128/194</f>
        <v>0.6597938144329897</v>
      </c>
      <c r="I19" s="47">
        <f>201/375</f>
        <v>0.536</v>
      </c>
      <c r="J19" s="46">
        <f>79/194</f>
        <v>0.4072164948453608</v>
      </c>
      <c r="K19" s="47">
        <f>134/375</f>
        <v>0.35733333333333334</v>
      </c>
      <c r="L19" s="134">
        <v>0</v>
      </c>
      <c r="M19" s="131">
        <v>0</v>
      </c>
    </row>
    <row r="20" spans="1:13" ht="13.5">
      <c r="A20" s="55" t="s">
        <v>86</v>
      </c>
      <c r="B20" s="44">
        <v>0.85</v>
      </c>
      <c r="C20" s="52">
        <f>1430+829</f>
        <v>2259</v>
      </c>
      <c r="D20" s="46">
        <f>1430/C20</f>
        <v>0.6330234617087207</v>
      </c>
      <c r="E20" s="47">
        <f>829/C20</f>
        <v>0.36697653829127935</v>
      </c>
      <c r="F20" s="48">
        <f>637/1430</f>
        <v>0.44545454545454544</v>
      </c>
      <c r="G20" s="49">
        <f>372/829</f>
        <v>0.4487334137515078</v>
      </c>
      <c r="H20" s="48">
        <f>793/1430</f>
        <v>0.5545454545454546</v>
      </c>
      <c r="I20" s="114">
        <f>457/829</f>
        <v>0.5512665862484921</v>
      </c>
      <c r="J20" s="78">
        <f>496/1430</f>
        <v>0.34685314685314683</v>
      </c>
      <c r="K20" s="50">
        <f>294/829</f>
        <v>0.3546441495778046</v>
      </c>
      <c r="L20" s="46">
        <v>0</v>
      </c>
      <c r="M20" s="47">
        <v>0</v>
      </c>
    </row>
    <row r="21" spans="1:13" ht="13.5">
      <c r="A21" s="56" t="s">
        <v>87</v>
      </c>
      <c r="B21" s="44">
        <v>1</v>
      </c>
      <c r="C21" s="45">
        <f>53+29</f>
        <v>82</v>
      </c>
      <c r="D21" s="46">
        <f>53/C21</f>
        <v>0.6463414634146342</v>
      </c>
      <c r="E21" s="47">
        <f>29/C21</f>
        <v>0.35365853658536583</v>
      </c>
      <c r="F21" s="48">
        <f>12/53</f>
        <v>0.22641509433962265</v>
      </c>
      <c r="G21" s="50">
        <f>12/29</f>
        <v>0.41379310344827586</v>
      </c>
      <c r="H21" s="48">
        <f>41/53</f>
        <v>0.7735849056603774</v>
      </c>
      <c r="I21" s="49">
        <f>18/29</f>
        <v>0.6206896551724138</v>
      </c>
      <c r="J21" s="48">
        <f>29/53</f>
        <v>0.5471698113207547</v>
      </c>
      <c r="K21" s="49">
        <f>11/29</f>
        <v>0.3793103448275862</v>
      </c>
      <c r="L21" s="135">
        <v>0</v>
      </c>
      <c r="M21" s="133">
        <v>0</v>
      </c>
    </row>
    <row r="22" spans="1:13" ht="13.5">
      <c r="A22" s="56" t="s">
        <v>88</v>
      </c>
      <c r="B22" s="44" t="s">
        <v>102</v>
      </c>
      <c r="C22" s="43">
        <v>492</v>
      </c>
      <c r="D22" s="46">
        <f>157/C22</f>
        <v>0.31910569105691056</v>
      </c>
      <c r="E22" s="47">
        <f>335/C22</f>
        <v>0.6808943089430894</v>
      </c>
      <c r="F22" s="46">
        <f>54/157</f>
        <v>0.34394904458598724</v>
      </c>
      <c r="G22" s="46">
        <f>138/335</f>
        <v>0.41194029850746267</v>
      </c>
      <c r="H22" s="46">
        <f>102/157</f>
        <v>0.6496815286624203</v>
      </c>
      <c r="I22" s="46">
        <f>197/335</f>
        <v>0.5880597014925373</v>
      </c>
      <c r="J22" s="46">
        <f>92/157</f>
        <v>0.5859872611464968</v>
      </c>
      <c r="K22" s="46">
        <f>165/335</f>
        <v>0.4925373134328358</v>
      </c>
      <c r="L22" s="46">
        <f>1/157</f>
        <v>0.006369426751592357</v>
      </c>
      <c r="M22" s="79">
        <v>0</v>
      </c>
    </row>
    <row r="23" spans="1:13" ht="24.75" customHeight="1">
      <c r="A23" s="172" t="s">
        <v>117</v>
      </c>
      <c r="B23" s="172"/>
      <c r="C23" s="172"/>
      <c r="D23" s="172"/>
      <c r="E23" s="172"/>
      <c r="F23" s="172"/>
      <c r="G23" s="172"/>
      <c r="H23" s="172"/>
      <c r="I23" s="172"/>
      <c r="J23" s="172"/>
      <c r="K23" s="172"/>
      <c r="L23" s="172"/>
      <c r="M23" s="172"/>
    </row>
    <row r="24" spans="1:13" ht="12.75">
      <c r="A24" s="37" t="s">
        <v>11</v>
      </c>
      <c r="B24" s="112"/>
      <c r="C24" s="112"/>
      <c r="D24" s="112"/>
      <c r="E24" s="112"/>
      <c r="F24" s="112"/>
      <c r="G24" s="112"/>
      <c r="H24" s="112"/>
      <c r="I24" s="112"/>
      <c r="J24" s="112"/>
      <c r="K24" s="112"/>
      <c r="L24" s="112"/>
      <c r="M24" s="112"/>
    </row>
    <row r="25" spans="1:13" ht="12.75">
      <c r="A25" s="40" t="s">
        <v>89</v>
      </c>
      <c r="B25" s="38"/>
      <c r="C25" s="38"/>
      <c r="D25" s="39"/>
      <c r="E25" s="39"/>
      <c r="F25" s="39"/>
      <c r="G25" s="39"/>
      <c r="H25" s="39"/>
      <c r="I25" s="39"/>
      <c r="J25" s="39"/>
      <c r="K25" s="39"/>
      <c r="L25" s="39"/>
      <c r="M25" s="39"/>
    </row>
    <row r="26" spans="1:13" ht="12.75">
      <c r="A26" s="41" t="s">
        <v>129</v>
      </c>
      <c r="B26" s="85"/>
      <c r="C26"/>
      <c r="D26"/>
      <c r="E26"/>
      <c r="F26"/>
      <c r="G26"/>
      <c r="H26"/>
      <c r="I26"/>
      <c r="J26"/>
      <c r="K26"/>
      <c r="L26"/>
      <c r="M26"/>
    </row>
    <row r="27" spans="1:13" ht="12.75">
      <c r="A27" s="171" t="s">
        <v>90</v>
      </c>
      <c r="B27" s="171"/>
      <c r="C27" s="171"/>
      <c r="D27" s="171"/>
      <c r="E27" s="171"/>
      <c r="F27" s="171"/>
      <c r="G27" s="171"/>
      <c r="H27" s="171"/>
      <c r="I27" s="171"/>
      <c r="J27" s="171"/>
      <c r="K27" s="171"/>
      <c r="L27" s="171"/>
      <c r="M27" s="171"/>
    </row>
    <row r="28" spans="1:13" ht="12.75">
      <c r="A28" s="37" t="s">
        <v>91</v>
      </c>
      <c r="B28" s="37"/>
      <c r="C28" s="37"/>
      <c r="D28" s="37"/>
      <c r="E28" s="37"/>
      <c r="F28" s="37"/>
      <c r="G28" s="37"/>
      <c r="H28" s="37"/>
      <c r="I28" s="37"/>
      <c r="J28" s="37"/>
      <c r="K28" s="37"/>
      <c r="L28" s="37"/>
      <c r="M28" s="37"/>
    </row>
    <row r="29" spans="1:13" ht="12.75" customHeight="1">
      <c r="A29" s="170" t="s">
        <v>130</v>
      </c>
      <c r="B29" s="170"/>
      <c r="C29" s="170"/>
      <c r="D29" s="170"/>
      <c r="E29" s="170"/>
      <c r="F29" s="170"/>
      <c r="G29" s="170"/>
      <c r="H29" s="170"/>
      <c r="I29" s="170"/>
      <c r="J29" s="170"/>
      <c r="K29" s="170"/>
      <c r="L29" s="170"/>
      <c r="M29" s="170"/>
    </row>
    <row r="30" spans="1:13" ht="12.75">
      <c r="A30" s="170"/>
      <c r="B30" s="170"/>
      <c r="C30" s="170"/>
      <c r="D30" s="170"/>
      <c r="E30" s="170"/>
      <c r="F30" s="170"/>
      <c r="G30" s="170"/>
      <c r="H30" s="170"/>
      <c r="I30" s="170"/>
      <c r="J30" s="170"/>
      <c r="K30" s="170"/>
      <c r="L30" s="170"/>
      <c r="M30" s="170"/>
    </row>
    <row r="31" spans="1:13" ht="12.75">
      <c r="A31" s="39" t="s">
        <v>69</v>
      </c>
      <c r="B31" s="39"/>
      <c r="C31" s="39"/>
      <c r="D31" s="39"/>
      <c r="E31" s="39"/>
      <c r="F31" s="39"/>
      <c r="G31" s="39"/>
      <c r="H31" s="39"/>
      <c r="I31" s="39"/>
      <c r="J31" s="39"/>
      <c r="K31" s="39"/>
      <c r="L31" s="39"/>
      <c r="M31" s="39"/>
    </row>
    <row r="32" s="113" customFormat="1" ht="11.25">
      <c r="A32" s="113" t="s">
        <v>92</v>
      </c>
    </row>
    <row r="33" ht="12.75">
      <c r="A33" s="113" t="s">
        <v>103</v>
      </c>
    </row>
  </sheetData>
  <sheetProtection/>
  <mergeCells count="32">
    <mergeCell ref="A3:A5"/>
    <mergeCell ref="B3:B5"/>
    <mergeCell ref="C3:C5"/>
    <mergeCell ref="D3:E4"/>
    <mergeCell ref="F3:M3"/>
    <mergeCell ref="H13:I13"/>
    <mergeCell ref="J13:K13"/>
    <mergeCell ref="F4:G4"/>
    <mergeCell ref="H4:I4"/>
    <mergeCell ref="H18:I18"/>
    <mergeCell ref="F18:G18"/>
    <mergeCell ref="F10:G10"/>
    <mergeCell ref="H10:I10"/>
    <mergeCell ref="A29:M30"/>
    <mergeCell ref="L18:M18"/>
    <mergeCell ref="A27:M27"/>
    <mergeCell ref="A23:M23"/>
    <mergeCell ref="D16:E16"/>
    <mergeCell ref="F17:G17"/>
    <mergeCell ref="J4:K4"/>
    <mergeCell ref="L4:M4"/>
    <mergeCell ref="F13:G13"/>
    <mergeCell ref="F16:G16"/>
    <mergeCell ref="H16:I16"/>
    <mergeCell ref="J16:K16"/>
    <mergeCell ref="L15:M15"/>
    <mergeCell ref="H17:I17"/>
    <mergeCell ref="F14:G14"/>
    <mergeCell ref="H14:I14"/>
    <mergeCell ref="F15:G15"/>
    <mergeCell ref="H15:I15"/>
    <mergeCell ref="J15:K15"/>
  </mergeCells>
  <printOptions/>
  <pageMargins left="0.787401575" right="0.787401575" top="0.984251969" bottom="0.984251969" header="0.4921259845" footer="0.4921259845"/>
  <pageSetup fitToHeight="1" fitToWidth="1" horizontalDpi="600" verticalDpi="600" orientation="landscape" paperSize="9" scale="76" r:id="rId1"/>
</worksheet>
</file>

<file path=xl/worksheets/sheet3.xml><?xml version="1.0" encoding="utf-8"?>
<worksheet xmlns="http://schemas.openxmlformats.org/spreadsheetml/2006/main" xmlns:r="http://schemas.openxmlformats.org/officeDocument/2006/relationships">
  <dimension ref="A1:M31"/>
  <sheetViews>
    <sheetView zoomScalePageLayoutView="0" workbookViewId="0" topLeftCell="A7">
      <selection activeCell="A23" sqref="A23"/>
    </sheetView>
  </sheetViews>
  <sheetFormatPr defaultColWidth="11.421875" defaultRowHeight="12.75"/>
  <cols>
    <col min="1" max="1" width="28.7109375" style="8" customWidth="1"/>
    <col min="3" max="3" width="23.7109375" style="0" bestFit="1" customWidth="1"/>
    <col min="5" max="5" width="24.140625" style="0" customWidth="1"/>
  </cols>
  <sheetData>
    <row r="1" ht="12.75">
      <c r="A1" s="1" t="s">
        <v>13</v>
      </c>
    </row>
    <row r="2" spans="1:5" ht="12.75">
      <c r="A2" s="6"/>
      <c r="B2" s="187">
        <v>2014</v>
      </c>
      <c r="C2" s="188"/>
      <c r="D2" s="187">
        <v>2015</v>
      </c>
      <c r="E2" s="188"/>
    </row>
    <row r="3" spans="1:5" ht="48" customHeight="1">
      <c r="A3" s="7"/>
      <c r="B3" s="4" t="s">
        <v>8</v>
      </c>
      <c r="C3" s="5" t="s">
        <v>9</v>
      </c>
      <c r="D3" s="86" t="s">
        <v>8</v>
      </c>
      <c r="E3" s="60" t="s">
        <v>9</v>
      </c>
    </row>
    <row r="4" spans="1:5" ht="25.5">
      <c r="A4" s="11" t="s">
        <v>79</v>
      </c>
      <c r="B4" s="58">
        <v>1</v>
      </c>
      <c r="C4" s="60">
        <v>13</v>
      </c>
      <c r="D4" s="58">
        <v>1</v>
      </c>
      <c r="E4" s="60">
        <f>20</f>
        <v>20</v>
      </c>
    </row>
    <row r="5" spans="1:5" ht="24">
      <c r="A5" s="11" t="s">
        <v>116</v>
      </c>
      <c r="B5" s="58">
        <v>0.74</v>
      </c>
      <c r="C5" s="60">
        <v>108</v>
      </c>
      <c r="D5" s="58" t="s">
        <v>99</v>
      </c>
      <c r="E5" s="60">
        <v>152</v>
      </c>
    </row>
    <row r="6" spans="1:5" ht="60">
      <c r="A6" s="11" t="s">
        <v>80</v>
      </c>
      <c r="B6" s="58">
        <v>1</v>
      </c>
      <c r="C6" s="59">
        <v>588</v>
      </c>
      <c r="D6" s="58" t="s">
        <v>100</v>
      </c>
      <c r="E6" s="59">
        <f>257+323+1</f>
        <v>581</v>
      </c>
    </row>
    <row r="7" spans="1:5" ht="12.75">
      <c r="A7" s="51" t="s">
        <v>76</v>
      </c>
      <c r="B7" s="58">
        <v>1</v>
      </c>
      <c r="C7" s="59">
        <v>17</v>
      </c>
      <c r="D7" s="58">
        <v>0.9</v>
      </c>
      <c r="E7" s="59">
        <v>12</v>
      </c>
    </row>
    <row r="8" spans="1:5" ht="12.75">
      <c r="A8" s="11" t="s">
        <v>14</v>
      </c>
      <c r="B8" s="87"/>
      <c r="C8" s="59" t="s">
        <v>7</v>
      </c>
      <c r="D8" s="125" t="s">
        <v>101</v>
      </c>
      <c r="E8" s="59">
        <v>177</v>
      </c>
    </row>
    <row r="9" spans="1:5" ht="12.75">
      <c r="A9" s="51" t="s">
        <v>6</v>
      </c>
      <c r="B9" s="58">
        <v>0.98</v>
      </c>
      <c r="C9" s="59">
        <v>266</v>
      </c>
      <c r="D9" s="58">
        <v>1</v>
      </c>
      <c r="E9" s="59">
        <f>139+94+1</f>
        <v>234</v>
      </c>
    </row>
    <row r="10" spans="1:5" ht="13.5">
      <c r="A10" s="51" t="s">
        <v>81</v>
      </c>
      <c r="B10" s="58">
        <v>0.95</v>
      </c>
      <c r="C10" s="59">
        <v>775</v>
      </c>
      <c r="D10" s="58"/>
      <c r="E10" s="59" t="s">
        <v>7</v>
      </c>
    </row>
    <row r="11" spans="1:5" ht="49.5">
      <c r="A11" s="11" t="s">
        <v>82</v>
      </c>
      <c r="B11" s="58">
        <v>0.8</v>
      </c>
      <c r="C11" s="59">
        <v>561</v>
      </c>
      <c r="D11" s="58">
        <v>0.8658</v>
      </c>
      <c r="E11" s="59">
        <v>577</v>
      </c>
    </row>
    <row r="12" spans="1:5" ht="48">
      <c r="A12" s="11" t="s">
        <v>70</v>
      </c>
      <c r="B12" s="58"/>
      <c r="C12" s="59" t="s">
        <v>7</v>
      </c>
      <c r="D12" s="58">
        <v>1</v>
      </c>
      <c r="E12" s="59">
        <v>34</v>
      </c>
    </row>
    <row r="13" spans="1:5" ht="13.5">
      <c r="A13" s="84" t="s">
        <v>83</v>
      </c>
      <c r="B13" s="58"/>
      <c r="C13" s="59" t="s">
        <v>7</v>
      </c>
      <c r="D13" s="58"/>
      <c r="E13" s="59" t="s">
        <v>7</v>
      </c>
    </row>
    <row r="14" spans="1:5" ht="25.5">
      <c r="A14" s="51" t="s">
        <v>71</v>
      </c>
      <c r="B14" s="58">
        <v>0.74</v>
      </c>
      <c r="C14" s="59">
        <v>1925</v>
      </c>
      <c r="D14" s="58">
        <v>0.74</v>
      </c>
      <c r="E14" s="59">
        <v>1188</v>
      </c>
    </row>
    <row r="15" spans="1:5" ht="12.75">
      <c r="A15" s="11" t="s">
        <v>15</v>
      </c>
      <c r="B15" s="58"/>
      <c r="C15" s="59" t="s">
        <v>7</v>
      </c>
      <c r="D15" s="58">
        <v>1</v>
      </c>
      <c r="E15" s="59">
        <v>87</v>
      </c>
    </row>
    <row r="16" spans="1:5" ht="13.5">
      <c r="A16" s="11" t="s">
        <v>85</v>
      </c>
      <c r="B16" s="58">
        <v>1</v>
      </c>
      <c r="C16" s="59">
        <v>844</v>
      </c>
      <c r="D16" s="58">
        <v>1</v>
      </c>
      <c r="E16" s="59">
        <f>3452+563</f>
        <v>4015</v>
      </c>
    </row>
    <row r="17" spans="1:5" ht="12.75">
      <c r="A17" s="11" t="s">
        <v>16</v>
      </c>
      <c r="B17" s="58">
        <v>0.88</v>
      </c>
      <c r="C17" s="59">
        <v>274</v>
      </c>
      <c r="D17" s="58">
        <v>0.7</v>
      </c>
      <c r="E17" s="59">
        <f>79+134</f>
        <v>213</v>
      </c>
    </row>
    <row r="18" spans="1:5" ht="13.5">
      <c r="A18" s="55" t="s">
        <v>86</v>
      </c>
      <c r="B18" s="58">
        <v>0.7</v>
      </c>
      <c r="C18" s="146">
        <v>1305</v>
      </c>
      <c r="D18" s="58">
        <v>0.85</v>
      </c>
      <c r="E18" s="59">
        <v>790</v>
      </c>
    </row>
    <row r="19" spans="1:5" ht="12.75" customHeight="1">
      <c r="A19" s="56" t="s">
        <v>87</v>
      </c>
      <c r="B19" s="58">
        <v>0.98</v>
      </c>
      <c r="C19" s="59">
        <v>13</v>
      </c>
      <c r="D19" s="58">
        <v>1</v>
      </c>
      <c r="E19" s="59">
        <v>40</v>
      </c>
    </row>
    <row r="20" spans="1:5" ht="13.5">
      <c r="A20" s="56" t="s">
        <v>88</v>
      </c>
      <c r="B20" s="58"/>
      <c r="C20" s="59" t="s">
        <v>7</v>
      </c>
      <c r="D20" s="58" t="s">
        <v>102</v>
      </c>
      <c r="E20" s="59">
        <f>92+165</f>
        <v>257</v>
      </c>
    </row>
    <row r="21" spans="1:5" ht="12.75" customHeight="1">
      <c r="A21" s="189" t="s">
        <v>106</v>
      </c>
      <c r="B21" s="189"/>
      <c r="C21" s="189"/>
      <c r="D21" s="189"/>
      <c r="E21" s="189"/>
    </row>
    <row r="22" spans="1:5" ht="12.75">
      <c r="A22" s="190"/>
      <c r="B22" s="190"/>
      <c r="C22" s="190"/>
      <c r="D22" s="190"/>
      <c r="E22" s="190"/>
    </row>
    <row r="23" spans="1:3" ht="12.75">
      <c r="A23" s="36" t="s">
        <v>11</v>
      </c>
      <c r="B23" s="61"/>
      <c r="C23" s="35"/>
    </row>
    <row r="24" spans="1:3" ht="12.75">
      <c r="A24" s="41" t="s">
        <v>89</v>
      </c>
      <c r="B24" s="35"/>
      <c r="C24" s="35"/>
    </row>
    <row r="25" spans="1:13" s="64" customFormat="1" ht="24.75" customHeight="1">
      <c r="A25" s="192" t="s">
        <v>131</v>
      </c>
      <c r="B25" s="192"/>
      <c r="C25" s="192"/>
      <c r="D25" s="192"/>
      <c r="E25" s="192"/>
      <c r="F25" s="8"/>
      <c r="G25" s="8"/>
      <c r="H25" s="8"/>
      <c r="I25" s="8"/>
      <c r="J25" s="8"/>
      <c r="K25" s="8"/>
      <c r="L25" s="8"/>
      <c r="M25"/>
    </row>
    <row r="26" spans="1:13" s="64" customFormat="1" ht="12.75">
      <c r="A26" s="171" t="s">
        <v>90</v>
      </c>
      <c r="B26" s="171"/>
      <c r="C26" s="171"/>
      <c r="D26" s="171"/>
      <c r="E26" s="171"/>
      <c r="F26" s="171"/>
      <c r="G26" s="171"/>
      <c r="H26" s="171"/>
      <c r="I26" s="171"/>
      <c r="J26" s="171"/>
      <c r="K26" s="171"/>
      <c r="L26" s="171"/>
      <c r="M26" s="171"/>
    </row>
    <row r="27" spans="1:13" s="64" customFormat="1" ht="12.75">
      <c r="A27" s="37" t="s">
        <v>91</v>
      </c>
      <c r="B27" s="37"/>
      <c r="C27" s="37"/>
      <c r="D27" s="37"/>
      <c r="E27" s="37"/>
      <c r="F27" s="37"/>
      <c r="G27" s="37"/>
      <c r="H27" s="37"/>
      <c r="I27" s="37"/>
      <c r="J27" s="37"/>
      <c r="K27" s="37"/>
      <c r="L27" s="37"/>
      <c r="M27" s="37"/>
    </row>
    <row r="28" spans="1:5" ht="12.75">
      <c r="A28" s="186" t="s">
        <v>69</v>
      </c>
      <c r="B28" s="186"/>
      <c r="C28" s="186"/>
      <c r="D28" s="186"/>
      <c r="E28" s="186"/>
    </row>
    <row r="29" spans="1:5" ht="12.75">
      <c r="A29" s="186"/>
      <c r="B29" s="186"/>
      <c r="C29" s="186"/>
      <c r="D29" s="186"/>
      <c r="E29" s="186"/>
    </row>
    <row r="30" spans="1:3" ht="12.75">
      <c r="A30" s="170" t="s">
        <v>92</v>
      </c>
      <c r="B30" s="191"/>
      <c r="C30" s="191"/>
    </row>
    <row r="31" ht="12.75">
      <c r="A31" s="39" t="s">
        <v>103</v>
      </c>
    </row>
  </sheetData>
  <sheetProtection/>
  <mergeCells count="7">
    <mergeCell ref="A28:E29"/>
    <mergeCell ref="B2:C2"/>
    <mergeCell ref="D2:E2"/>
    <mergeCell ref="A21:E22"/>
    <mergeCell ref="A26:M26"/>
    <mergeCell ref="A30:C30"/>
    <mergeCell ref="A25:E25"/>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N32"/>
  <sheetViews>
    <sheetView zoomScalePageLayoutView="0" workbookViewId="0" topLeftCell="A7">
      <selection activeCell="A23" sqref="A23"/>
    </sheetView>
  </sheetViews>
  <sheetFormatPr defaultColWidth="9.140625" defaultRowHeight="12.75"/>
  <cols>
    <col min="1" max="1" width="36.7109375" style="0" customWidth="1"/>
    <col min="2" max="3" width="18.8515625" style="0" bestFit="1" customWidth="1"/>
    <col min="4" max="5" width="12.140625" style="0" customWidth="1"/>
    <col min="6" max="6" width="9.140625" style="0" customWidth="1"/>
    <col min="7" max="7" width="11.00390625" style="0" customWidth="1"/>
    <col min="8" max="8" width="10.28125" style="0" bestFit="1" customWidth="1"/>
    <col min="9" max="11" width="9.140625" style="0" customWidth="1"/>
    <col min="12" max="12" width="10.28125" style="0" bestFit="1" customWidth="1"/>
  </cols>
  <sheetData>
    <row r="1" spans="1:2" ht="12.75">
      <c r="A1" s="1" t="s">
        <v>118</v>
      </c>
      <c r="B1" s="1"/>
    </row>
    <row r="2" spans="1:13" ht="12.75" customHeight="1">
      <c r="A2" s="75"/>
      <c r="B2" s="195" t="s">
        <v>8</v>
      </c>
      <c r="C2" s="175" t="s">
        <v>104</v>
      </c>
      <c r="D2" s="196" t="s">
        <v>39</v>
      </c>
      <c r="E2" s="197"/>
      <c r="F2" s="185" t="s">
        <v>10</v>
      </c>
      <c r="G2" s="185"/>
      <c r="H2" s="185"/>
      <c r="I2" s="185"/>
      <c r="J2" s="185"/>
      <c r="K2" s="185"/>
      <c r="L2" s="185"/>
      <c r="M2" s="185"/>
    </row>
    <row r="3" spans="1:13" ht="12.75" customHeight="1">
      <c r="A3" s="75"/>
      <c r="B3" s="195"/>
      <c r="C3" s="176"/>
      <c r="D3" s="196"/>
      <c r="E3" s="197"/>
      <c r="F3" s="160" t="s">
        <v>0</v>
      </c>
      <c r="G3" s="161"/>
      <c r="H3" s="160" t="s">
        <v>3</v>
      </c>
      <c r="I3" s="162"/>
      <c r="J3" s="198" t="s">
        <v>5</v>
      </c>
      <c r="K3" s="161"/>
      <c r="L3" s="199" t="s">
        <v>4</v>
      </c>
      <c r="M3" s="199"/>
    </row>
    <row r="4" spans="1:13" ht="12.75" customHeight="1">
      <c r="A4" s="75"/>
      <c r="B4" s="195"/>
      <c r="C4" s="177" t="s">
        <v>30</v>
      </c>
      <c r="D4" s="2" t="s">
        <v>1</v>
      </c>
      <c r="E4" s="3" t="s">
        <v>2</v>
      </c>
      <c r="F4" s="2" t="s">
        <v>1</v>
      </c>
      <c r="G4" s="3" t="s">
        <v>2</v>
      </c>
      <c r="H4" s="2" t="s">
        <v>1</v>
      </c>
      <c r="I4" s="9" t="s">
        <v>2</v>
      </c>
      <c r="J4" s="76" t="s">
        <v>1</v>
      </c>
      <c r="K4" s="3" t="s">
        <v>2</v>
      </c>
      <c r="L4" s="77" t="s">
        <v>1</v>
      </c>
      <c r="M4" s="77" t="s">
        <v>2</v>
      </c>
    </row>
    <row r="5" spans="1:13" s="62" customFormat="1" ht="25.5">
      <c r="A5" s="11" t="s">
        <v>79</v>
      </c>
      <c r="B5" s="44">
        <v>1</v>
      </c>
      <c r="C5" s="45">
        <f>13+33</f>
        <v>46</v>
      </c>
      <c r="D5" s="46">
        <f>13/46</f>
        <v>0.2826086956521739</v>
      </c>
      <c r="E5" s="47">
        <f>33/46</f>
        <v>0.717391304347826</v>
      </c>
      <c r="F5" s="48">
        <f>3/13</f>
        <v>0.23076923076923078</v>
      </c>
      <c r="G5" s="49">
        <f>14/33</f>
        <v>0.42424242424242425</v>
      </c>
      <c r="H5" s="48">
        <f>10/13</f>
        <v>0.7692307692307693</v>
      </c>
      <c r="I5" s="50">
        <f>19/33</f>
        <v>0.5757575757575758</v>
      </c>
      <c r="J5" s="78">
        <f>7/13</f>
        <v>0.5384615384615384</v>
      </c>
      <c r="K5" s="49">
        <f>16/33</f>
        <v>0.48484848484848486</v>
      </c>
      <c r="L5" s="79">
        <v>0</v>
      </c>
      <c r="M5" s="79">
        <v>0</v>
      </c>
    </row>
    <row r="6" spans="1:13" s="62" customFormat="1" ht="24">
      <c r="A6" s="11" t="s">
        <v>116</v>
      </c>
      <c r="B6" s="44" t="s">
        <v>99</v>
      </c>
      <c r="C6" s="45">
        <v>93</v>
      </c>
      <c r="D6" s="46">
        <f>34/C6</f>
        <v>0.3655913978494624</v>
      </c>
      <c r="E6" s="47">
        <f>59/C6</f>
        <v>0.6344086021505376</v>
      </c>
      <c r="F6" s="48">
        <f>23/34</f>
        <v>0.6764705882352942</v>
      </c>
      <c r="G6" s="49">
        <f>33/59</f>
        <v>0.559322033898305</v>
      </c>
      <c r="H6" s="48">
        <f>11/34</f>
        <v>0.3235294117647059</v>
      </c>
      <c r="I6" s="50">
        <f>26/59</f>
        <v>0.4406779661016949</v>
      </c>
      <c r="J6" s="78">
        <f>3/34</f>
        <v>0.08823529411764706</v>
      </c>
      <c r="K6" s="49">
        <f>15/59</f>
        <v>0.2542372881355932</v>
      </c>
      <c r="L6" s="79">
        <v>0</v>
      </c>
      <c r="M6" s="79">
        <v>0</v>
      </c>
    </row>
    <row r="7" spans="1:14" s="62" customFormat="1" ht="36">
      <c r="A7" s="11" t="s">
        <v>80</v>
      </c>
      <c r="B7" s="44" t="s">
        <v>100</v>
      </c>
      <c r="C7" s="45">
        <v>1054</v>
      </c>
      <c r="D7" s="46">
        <f>314/C7</f>
        <v>0.29791271347248577</v>
      </c>
      <c r="E7" s="47">
        <f>740/C7</f>
        <v>0.7020872865275142</v>
      </c>
      <c r="F7" s="119">
        <f>100/314</f>
        <v>0.3184713375796178</v>
      </c>
      <c r="G7" s="47">
        <f>229/740</f>
        <v>0.30945945945945946</v>
      </c>
      <c r="H7" s="121">
        <f>213/314</f>
        <v>0.678343949044586</v>
      </c>
      <c r="I7" s="57">
        <f>511/740</f>
        <v>0.6905405405405406</v>
      </c>
      <c r="J7" s="122">
        <f>169/314</f>
        <v>0.5382165605095541</v>
      </c>
      <c r="K7" s="47">
        <f>413/740</f>
        <v>0.5581081081081081</v>
      </c>
      <c r="L7" s="120">
        <f>1/314</f>
        <v>0.0031847133757961785</v>
      </c>
      <c r="M7" s="79">
        <v>0</v>
      </c>
      <c r="N7" s="105"/>
    </row>
    <row r="8" spans="1:13" s="62" customFormat="1" ht="12.75">
      <c r="A8" s="51" t="s">
        <v>76</v>
      </c>
      <c r="B8" s="44">
        <v>1</v>
      </c>
      <c r="C8" s="45">
        <v>50</v>
      </c>
      <c r="D8" s="46">
        <f>8/C8</f>
        <v>0.16</v>
      </c>
      <c r="E8" s="47">
        <f>42/C8</f>
        <v>0.84</v>
      </c>
      <c r="F8" s="48">
        <f>1/8</f>
        <v>0.125</v>
      </c>
      <c r="G8" s="49">
        <f>19/42</f>
        <v>0.4523809523809524</v>
      </c>
      <c r="H8" s="48">
        <f>7/8</f>
        <v>0.875</v>
      </c>
      <c r="I8" s="50">
        <f>23/42</f>
        <v>0.5476190476190477</v>
      </c>
      <c r="J8" s="78">
        <f>3/8</f>
        <v>0.375</v>
      </c>
      <c r="K8" s="49">
        <f>14/42</f>
        <v>0.3333333333333333</v>
      </c>
      <c r="L8" s="79">
        <v>0</v>
      </c>
      <c r="M8" s="79">
        <v>0</v>
      </c>
    </row>
    <row r="9" spans="1:13" s="62" customFormat="1" ht="12.75">
      <c r="A9" s="11" t="s">
        <v>14</v>
      </c>
      <c r="B9" s="44" t="s">
        <v>101</v>
      </c>
      <c r="C9" s="45">
        <f>73+165</f>
        <v>238</v>
      </c>
      <c r="D9" s="46">
        <f>73/C9</f>
        <v>0.3067226890756303</v>
      </c>
      <c r="E9" s="47">
        <f>165/C9</f>
        <v>0.6932773109243697</v>
      </c>
      <c r="F9" s="156" t="s">
        <v>7</v>
      </c>
      <c r="G9" s="158"/>
      <c r="H9" s="156" t="s">
        <v>7</v>
      </c>
      <c r="I9" s="194"/>
      <c r="J9" s="78">
        <f>27/73</f>
        <v>0.3698630136986301</v>
      </c>
      <c r="K9" s="49">
        <f>50/165</f>
        <v>0.30303030303030304</v>
      </c>
      <c r="L9" s="79">
        <v>0</v>
      </c>
      <c r="M9" s="79">
        <v>0</v>
      </c>
    </row>
    <row r="10" spans="1:13" s="62" customFormat="1" ht="12.75">
      <c r="A10" s="51" t="s">
        <v>6</v>
      </c>
      <c r="B10" s="44">
        <v>1</v>
      </c>
      <c r="C10" s="45">
        <v>243</v>
      </c>
      <c r="D10" s="46">
        <f>68/C10</f>
        <v>0.27983539094650206</v>
      </c>
      <c r="E10" s="47">
        <f>175/C10</f>
        <v>0.720164609053498</v>
      </c>
      <c r="F10" s="48">
        <f>26/68</f>
        <v>0.38235294117647056</v>
      </c>
      <c r="G10" s="49">
        <f>70/175</f>
        <v>0.4</v>
      </c>
      <c r="H10" s="48">
        <f>40/68</f>
        <v>0.5882352941176471</v>
      </c>
      <c r="I10" s="50">
        <f>105/175</f>
        <v>0.6</v>
      </c>
      <c r="J10" s="78">
        <f>31/68</f>
        <v>0.45588235294117646</v>
      </c>
      <c r="K10" s="49">
        <f>81/175</f>
        <v>0.46285714285714286</v>
      </c>
      <c r="L10" s="79">
        <f>2/68</f>
        <v>0.029411764705882353</v>
      </c>
      <c r="M10" s="79">
        <v>0</v>
      </c>
    </row>
    <row r="11" spans="1:13" s="62" customFormat="1" ht="13.5">
      <c r="A11" s="51" t="s">
        <v>81</v>
      </c>
      <c r="B11" s="44" t="s">
        <v>7</v>
      </c>
      <c r="C11" s="44" t="s">
        <v>7</v>
      </c>
      <c r="D11" s="44" t="s">
        <v>7</v>
      </c>
      <c r="E11" s="44" t="s">
        <v>7</v>
      </c>
      <c r="F11" s="44" t="s">
        <v>7</v>
      </c>
      <c r="G11" s="44" t="s">
        <v>7</v>
      </c>
      <c r="H11" s="44" t="s">
        <v>7</v>
      </c>
      <c r="I11" s="44" t="s">
        <v>7</v>
      </c>
      <c r="J11" s="44" t="s">
        <v>7</v>
      </c>
      <c r="K11" s="44" t="s">
        <v>7</v>
      </c>
      <c r="L11" s="44" t="s">
        <v>7</v>
      </c>
      <c r="M11" s="126" t="s">
        <v>7</v>
      </c>
    </row>
    <row r="12" spans="1:13" s="62" customFormat="1" ht="37.5">
      <c r="A12" s="11" t="s">
        <v>82</v>
      </c>
      <c r="B12" s="44">
        <v>0.8658</v>
      </c>
      <c r="C12" s="45">
        <v>323</v>
      </c>
      <c r="D12" s="46">
        <f>111/323</f>
        <v>0.34365325077399383</v>
      </c>
      <c r="E12" s="47">
        <f>212/323</f>
        <v>0.6563467492260062</v>
      </c>
      <c r="F12" s="163" t="s">
        <v>7</v>
      </c>
      <c r="G12" s="165"/>
      <c r="H12" s="163" t="s">
        <v>7</v>
      </c>
      <c r="I12" s="164"/>
      <c r="J12" s="200">
        <f>140/C12</f>
        <v>0.43343653250773995</v>
      </c>
      <c r="K12" s="165"/>
      <c r="L12" s="79">
        <f>1/111</f>
        <v>0.009009009009009009</v>
      </c>
      <c r="M12" s="79">
        <f>0</f>
        <v>0</v>
      </c>
    </row>
    <row r="13" spans="1:13" ht="36">
      <c r="A13" s="11" t="s">
        <v>70</v>
      </c>
      <c r="B13" s="44">
        <v>1</v>
      </c>
      <c r="C13" s="45">
        <v>50</v>
      </c>
      <c r="D13" s="46">
        <f>30/50</f>
        <v>0.6</v>
      </c>
      <c r="E13" s="47">
        <f>20/50</f>
        <v>0.4</v>
      </c>
      <c r="F13" s="202" t="s">
        <v>7</v>
      </c>
      <c r="G13" s="203"/>
      <c r="H13" s="202" t="s">
        <v>7</v>
      </c>
      <c r="I13" s="204"/>
      <c r="J13" s="127">
        <f>11/30</f>
        <v>0.36666666666666664</v>
      </c>
      <c r="K13" s="127">
        <f>7/20</f>
        <v>0.35</v>
      </c>
      <c r="L13" s="80">
        <v>0</v>
      </c>
      <c r="M13" s="80">
        <v>0</v>
      </c>
    </row>
    <row r="14" spans="1:13" s="62" customFormat="1" ht="13.5">
      <c r="A14" s="84" t="s">
        <v>83</v>
      </c>
      <c r="B14" s="44">
        <v>1</v>
      </c>
      <c r="C14" s="45">
        <f>849+2811</f>
        <v>3660</v>
      </c>
      <c r="D14" s="46">
        <f>849/C14</f>
        <v>0.2319672131147541</v>
      </c>
      <c r="E14" s="47">
        <f>2811/C14</f>
        <v>0.7680327868852459</v>
      </c>
      <c r="F14" s="163" t="s">
        <v>7</v>
      </c>
      <c r="G14" s="165"/>
      <c r="H14" s="163" t="s">
        <v>7</v>
      </c>
      <c r="I14" s="164"/>
      <c r="J14" s="200" t="s">
        <v>7</v>
      </c>
      <c r="K14" s="165"/>
      <c r="L14" s="207" t="s">
        <v>7</v>
      </c>
      <c r="M14" s="207"/>
    </row>
    <row r="15" spans="1:13" s="62" customFormat="1" ht="13.5">
      <c r="A15" s="51" t="s">
        <v>84</v>
      </c>
      <c r="B15" s="44">
        <v>0.74</v>
      </c>
      <c r="C15" s="45">
        <v>1133</v>
      </c>
      <c r="D15" s="154" t="s">
        <v>7</v>
      </c>
      <c r="E15" s="159"/>
      <c r="F15" s="163">
        <f>499/1133</f>
        <v>0.440423654015887</v>
      </c>
      <c r="G15" s="165"/>
      <c r="H15" s="163">
        <f>634/1133</f>
        <v>0.559576345984113</v>
      </c>
      <c r="I15" s="164"/>
      <c r="J15" s="200">
        <f>552/1133</f>
        <v>0.4872021182700794</v>
      </c>
      <c r="K15" s="165"/>
      <c r="L15" s="201">
        <f>2/1133</f>
        <v>0.00176522506619594</v>
      </c>
      <c r="M15" s="201"/>
    </row>
    <row r="16" spans="1:13" s="62" customFormat="1" ht="12.75">
      <c r="A16" s="11" t="s">
        <v>15</v>
      </c>
      <c r="B16" s="44">
        <v>1</v>
      </c>
      <c r="C16" s="45">
        <v>7</v>
      </c>
      <c r="D16" s="46">
        <f>4/7</f>
        <v>0.5714285714285714</v>
      </c>
      <c r="E16" s="47">
        <f>3/7</f>
        <v>0.42857142857142855</v>
      </c>
      <c r="F16" s="163" t="s">
        <v>7</v>
      </c>
      <c r="G16" s="165"/>
      <c r="H16" s="163" t="s">
        <v>7</v>
      </c>
      <c r="I16" s="165"/>
      <c r="J16" s="46">
        <f>0</f>
        <v>0</v>
      </c>
      <c r="K16" s="47">
        <f>1/3</f>
        <v>0.3333333333333333</v>
      </c>
      <c r="L16" s="46">
        <v>0</v>
      </c>
      <c r="M16" s="47">
        <v>0</v>
      </c>
    </row>
    <row r="17" spans="1:13" s="62" customFormat="1" ht="13.5">
      <c r="A17" s="11" t="s">
        <v>85</v>
      </c>
      <c r="B17" s="63">
        <v>1</v>
      </c>
      <c r="C17" s="52">
        <v>1359</v>
      </c>
      <c r="D17" s="46">
        <f>901/1359</f>
        <v>0.6629874908020603</v>
      </c>
      <c r="E17" s="47">
        <f>458/1359</f>
        <v>0.3370125091979397</v>
      </c>
      <c r="F17" s="156" t="s">
        <v>7</v>
      </c>
      <c r="G17" s="158"/>
      <c r="H17" s="156" t="s">
        <v>7</v>
      </c>
      <c r="I17" s="194"/>
      <c r="J17" s="78">
        <f>300/901</f>
        <v>0.33296337402885684</v>
      </c>
      <c r="K17" s="49">
        <f>140/458</f>
        <v>0.3056768558951965</v>
      </c>
      <c r="L17" s="166" t="s">
        <v>7</v>
      </c>
      <c r="M17" s="167"/>
    </row>
    <row r="18" spans="1:13" s="62" customFormat="1" ht="12.75">
      <c r="A18" s="11" t="s">
        <v>16</v>
      </c>
      <c r="B18" s="44">
        <v>0.7</v>
      </c>
      <c r="C18" s="45">
        <v>373</v>
      </c>
      <c r="D18" s="46">
        <f>78/C18</f>
        <v>0.20911528150134048</v>
      </c>
      <c r="E18" s="47">
        <f>295/C18</f>
        <v>0.7908847184986595</v>
      </c>
      <c r="F18" s="48">
        <f>32/78</f>
        <v>0.41025641025641024</v>
      </c>
      <c r="G18" s="49">
        <f>104/295</f>
        <v>0.3525423728813559</v>
      </c>
      <c r="H18" s="48">
        <f>46/78</f>
        <v>0.5897435897435898</v>
      </c>
      <c r="I18" s="50">
        <f>191/295</f>
        <v>0.6474576271186441</v>
      </c>
      <c r="J18" s="78">
        <f>29/78</f>
        <v>0.3717948717948718</v>
      </c>
      <c r="K18" s="50">
        <f>115/295</f>
        <v>0.3898305084745763</v>
      </c>
      <c r="L18" s="46">
        <v>0</v>
      </c>
      <c r="M18" s="47">
        <v>0</v>
      </c>
    </row>
    <row r="19" spans="1:13" s="62" customFormat="1" ht="13.5">
      <c r="A19" s="55" t="s">
        <v>86</v>
      </c>
      <c r="B19" s="44">
        <v>0.85</v>
      </c>
      <c r="C19" s="52">
        <v>506</v>
      </c>
      <c r="D19" s="46">
        <f>151/C19</f>
        <v>0.2984189723320158</v>
      </c>
      <c r="E19" s="47">
        <f>355/C19</f>
        <v>0.7015810276679841</v>
      </c>
      <c r="F19" s="48">
        <f>59/151</f>
        <v>0.39072847682119205</v>
      </c>
      <c r="G19" s="49">
        <f>143/355</f>
        <v>0.4028169014084507</v>
      </c>
      <c r="H19" s="48">
        <f>92/151</f>
        <v>0.609271523178808</v>
      </c>
      <c r="I19" s="114">
        <f>212/355</f>
        <v>0.5971830985915493</v>
      </c>
      <c r="J19" s="78">
        <f>69/151</f>
        <v>0.45695364238410596</v>
      </c>
      <c r="K19" s="49">
        <f>175/355</f>
        <v>0.49295774647887325</v>
      </c>
      <c r="L19" s="136">
        <v>0</v>
      </c>
      <c r="M19" s="136">
        <v>0</v>
      </c>
    </row>
    <row r="20" spans="1:13" ht="13.5">
      <c r="A20" s="56" t="s">
        <v>87</v>
      </c>
      <c r="B20" s="44">
        <v>1</v>
      </c>
      <c r="C20" s="45">
        <f>35+47</f>
        <v>82</v>
      </c>
      <c r="D20" s="46">
        <f>35/C20</f>
        <v>0.4268292682926829</v>
      </c>
      <c r="E20" s="47">
        <f>47/C20</f>
        <v>0.573170731707317</v>
      </c>
      <c r="F20" s="48">
        <f>10/35</f>
        <v>0.2857142857142857</v>
      </c>
      <c r="G20" s="49">
        <f>12/47</f>
        <v>0.2553191489361702</v>
      </c>
      <c r="H20" s="48">
        <f>25/35</f>
        <v>0.7142857142857143</v>
      </c>
      <c r="I20" s="50">
        <f>35/47</f>
        <v>0.7446808510638298</v>
      </c>
      <c r="J20" s="78">
        <f>10/35</f>
        <v>0.2857142857142857</v>
      </c>
      <c r="K20" s="49">
        <f>9/47</f>
        <v>0.19148936170212766</v>
      </c>
      <c r="L20" s="79">
        <v>0</v>
      </c>
      <c r="M20" s="79">
        <v>0</v>
      </c>
    </row>
    <row r="21" spans="1:14" s="62" customFormat="1" ht="13.5">
      <c r="A21" s="56" t="s">
        <v>88</v>
      </c>
      <c r="B21" s="44" t="s">
        <v>102</v>
      </c>
      <c r="C21" s="45">
        <v>307</v>
      </c>
      <c r="D21" s="46">
        <f>64/C21</f>
        <v>0.20846905537459284</v>
      </c>
      <c r="E21" s="47">
        <f>243/C21</f>
        <v>0.7915309446254072</v>
      </c>
      <c r="F21" s="46">
        <f>21/64</f>
        <v>0.328125</v>
      </c>
      <c r="G21" s="128">
        <f>82/243</f>
        <v>0.3374485596707819</v>
      </c>
      <c r="H21" s="46">
        <f>43/64</f>
        <v>0.671875</v>
      </c>
      <c r="I21" s="128">
        <f>160/243</f>
        <v>0.6584362139917695</v>
      </c>
      <c r="J21" s="46">
        <f>36/64</f>
        <v>0.5625</v>
      </c>
      <c r="K21" s="47">
        <f>123/243</f>
        <v>0.5061728395061729</v>
      </c>
      <c r="L21" s="46">
        <v>0</v>
      </c>
      <c r="M21" s="128">
        <f>1/243</f>
        <v>0.00411522633744856</v>
      </c>
      <c r="N21" s="105"/>
    </row>
    <row r="22" spans="1:13" ht="25.5" customHeight="1">
      <c r="A22" s="193" t="s">
        <v>105</v>
      </c>
      <c r="B22" s="193"/>
      <c r="C22" s="193"/>
      <c r="D22" s="193"/>
      <c r="E22" s="193"/>
      <c r="F22" s="193"/>
      <c r="G22" s="193"/>
      <c r="H22" s="193"/>
      <c r="I22" s="193"/>
      <c r="J22" s="193"/>
      <c r="K22" s="193"/>
      <c r="L22" s="193"/>
      <c r="M22" s="193"/>
    </row>
    <row r="23" spans="1:13" ht="12.75" customHeight="1">
      <c r="A23" s="36" t="s">
        <v>11</v>
      </c>
      <c r="B23" s="36"/>
      <c r="C23" s="36"/>
      <c r="D23" s="36"/>
      <c r="E23" s="36"/>
      <c r="F23" s="36"/>
      <c r="G23" s="36"/>
      <c r="H23" s="36"/>
      <c r="I23" s="36"/>
      <c r="J23" s="36"/>
      <c r="K23" s="36"/>
      <c r="L23" s="36"/>
      <c r="M23" s="36"/>
    </row>
    <row r="24" spans="1:13" ht="12.75">
      <c r="A24" s="170" t="s">
        <v>132</v>
      </c>
      <c r="B24" s="170"/>
      <c r="C24" s="170"/>
      <c r="D24" s="170"/>
      <c r="E24" s="170"/>
      <c r="F24" s="170"/>
      <c r="G24" s="170"/>
      <c r="H24" s="170"/>
      <c r="I24" s="170"/>
      <c r="J24" s="170"/>
      <c r="K24" s="170"/>
      <c r="L24" s="170"/>
      <c r="M24" s="170"/>
    </row>
    <row r="25" spans="1:13" ht="12.75">
      <c r="A25" s="170"/>
      <c r="B25" s="170"/>
      <c r="C25" s="170"/>
      <c r="D25" s="170"/>
      <c r="E25" s="170"/>
      <c r="F25" s="170"/>
      <c r="G25" s="170"/>
      <c r="H25" s="170"/>
      <c r="I25" s="170"/>
      <c r="J25" s="170"/>
      <c r="K25" s="170"/>
      <c r="L25" s="170"/>
      <c r="M25" s="170"/>
    </row>
    <row r="26" spans="1:13" ht="12.75">
      <c r="A26" s="35" t="s">
        <v>74</v>
      </c>
      <c r="B26" s="35"/>
      <c r="C26" s="35"/>
      <c r="D26" s="35"/>
      <c r="E26" s="35"/>
      <c r="F26" s="35"/>
      <c r="G26" s="35"/>
      <c r="H26" s="35"/>
      <c r="I26" s="35"/>
      <c r="J26" s="35"/>
      <c r="K26" s="35"/>
      <c r="L26" s="35"/>
      <c r="M26" s="35"/>
    </row>
    <row r="27" spans="1:13" ht="12.75" customHeight="1">
      <c r="A27" s="41" t="s">
        <v>89</v>
      </c>
      <c r="B27" s="81"/>
      <c r="C27" s="82"/>
      <c r="D27" s="83"/>
      <c r="E27" s="82"/>
      <c r="F27" s="82"/>
      <c r="G27" s="82"/>
      <c r="H27" s="82"/>
      <c r="I27" s="82"/>
      <c r="J27" s="82"/>
      <c r="K27" s="82"/>
      <c r="L27" s="82"/>
      <c r="M27" s="82"/>
    </row>
    <row r="28" spans="1:13" ht="12.75">
      <c r="A28" s="171" t="s">
        <v>131</v>
      </c>
      <c r="B28" s="171"/>
      <c r="C28" s="171"/>
      <c r="D28" s="171"/>
      <c r="E28" s="171"/>
      <c r="F28" s="171"/>
      <c r="G28" s="171"/>
      <c r="H28" s="171"/>
      <c r="I28" s="171"/>
      <c r="J28" s="171"/>
      <c r="K28" s="171"/>
      <c r="L28" s="171"/>
      <c r="M28" s="171"/>
    </row>
    <row r="29" spans="1:13" s="64" customFormat="1" ht="12.75">
      <c r="A29" s="171" t="s">
        <v>90</v>
      </c>
      <c r="B29" s="171"/>
      <c r="C29" s="171"/>
      <c r="D29" s="171"/>
      <c r="E29" s="171"/>
      <c r="F29" s="171"/>
      <c r="G29" s="171"/>
      <c r="H29" s="171"/>
      <c r="I29" s="171"/>
      <c r="J29" s="171"/>
      <c r="K29" s="171"/>
      <c r="L29" s="171"/>
      <c r="M29" s="171"/>
    </row>
    <row r="30" spans="1:13" s="64" customFormat="1" ht="12.75">
      <c r="A30" s="37" t="s">
        <v>91</v>
      </c>
      <c r="B30" s="37"/>
      <c r="C30" s="37"/>
      <c r="D30" s="37"/>
      <c r="E30" s="37"/>
      <c r="F30" s="37"/>
      <c r="G30" s="37"/>
      <c r="H30" s="37"/>
      <c r="I30" s="37"/>
      <c r="J30" s="37"/>
      <c r="K30" s="37"/>
      <c r="L30" s="37"/>
      <c r="M30" s="37"/>
    </row>
    <row r="31" spans="1:3" ht="12.75">
      <c r="A31" s="205" t="s">
        <v>92</v>
      </c>
      <c r="B31" s="206"/>
      <c r="C31" s="206"/>
    </row>
    <row r="32" ht="12.75">
      <c r="A32" s="39" t="s">
        <v>103</v>
      </c>
    </row>
  </sheetData>
  <sheetProtection/>
  <mergeCells count="34">
    <mergeCell ref="F9:G9"/>
    <mergeCell ref="H9:I9"/>
    <mergeCell ref="A31:C31"/>
    <mergeCell ref="L17:M17"/>
    <mergeCell ref="L14:M14"/>
    <mergeCell ref="H12:I12"/>
    <mergeCell ref="J12:K12"/>
    <mergeCell ref="D15:E15"/>
    <mergeCell ref="F15:G15"/>
    <mergeCell ref="H15:I15"/>
    <mergeCell ref="J15:K15"/>
    <mergeCell ref="F12:G12"/>
    <mergeCell ref="L15:M15"/>
    <mergeCell ref="F13:G13"/>
    <mergeCell ref="H13:I13"/>
    <mergeCell ref="F14:G14"/>
    <mergeCell ref="H14:I14"/>
    <mergeCell ref="J14:K14"/>
    <mergeCell ref="B2:B4"/>
    <mergeCell ref="D2:E3"/>
    <mergeCell ref="F2:M2"/>
    <mergeCell ref="F3:G3"/>
    <mergeCell ref="H3:I3"/>
    <mergeCell ref="J3:K3"/>
    <mergeCell ref="L3:M3"/>
    <mergeCell ref="C2:C4"/>
    <mergeCell ref="A29:M29"/>
    <mergeCell ref="F16:G16"/>
    <mergeCell ref="A24:M25"/>
    <mergeCell ref="A28:M28"/>
    <mergeCell ref="H16:I16"/>
    <mergeCell ref="A22:M22"/>
    <mergeCell ref="H17:I17"/>
    <mergeCell ref="F17:G17"/>
  </mergeCells>
  <printOptions/>
  <pageMargins left="0.787401575" right="0.787401575" top="0.984251969" bottom="0.984251969" header="0.4921259845" footer="0.4921259845"/>
  <pageSetup fitToHeight="1" fitToWidth="1" horizontalDpi="600" verticalDpi="600" orientation="landscape" paperSize="9" scale="86" r:id="rId1"/>
</worksheet>
</file>

<file path=xl/worksheets/sheet5.xml><?xml version="1.0" encoding="utf-8"?>
<worksheet xmlns="http://schemas.openxmlformats.org/spreadsheetml/2006/main" xmlns:r="http://schemas.openxmlformats.org/officeDocument/2006/relationships">
  <dimension ref="A1:E25"/>
  <sheetViews>
    <sheetView zoomScalePageLayoutView="0" workbookViewId="0" topLeftCell="A1">
      <selection activeCell="A20" sqref="A20:E22"/>
    </sheetView>
  </sheetViews>
  <sheetFormatPr defaultColWidth="11.421875" defaultRowHeight="12.75"/>
  <cols>
    <col min="1" max="1" width="20.00390625" style="62" customWidth="1"/>
    <col min="2" max="2" width="15.28125" style="62" customWidth="1"/>
    <col min="3" max="3" width="16.57421875" style="62" customWidth="1"/>
    <col min="4" max="4" width="12.8515625" style="62" customWidth="1"/>
    <col min="5" max="16384" width="11.421875" style="62" customWidth="1"/>
  </cols>
  <sheetData>
    <row r="1" spans="1:5" ht="12.75" customHeight="1">
      <c r="A1" s="209" t="s">
        <v>49</v>
      </c>
      <c r="B1" s="209"/>
      <c r="C1" s="209"/>
      <c r="D1" s="209"/>
      <c r="E1" s="209"/>
    </row>
    <row r="2" spans="1:5" ht="12.75">
      <c r="A2" s="209"/>
      <c r="B2" s="209"/>
      <c r="C2" s="209"/>
      <c r="D2" s="209"/>
      <c r="E2" s="209"/>
    </row>
    <row r="3" spans="1:5" s="96" customFormat="1" ht="11.25" customHeight="1">
      <c r="A3" s="90"/>
      <c r="B3" s="210" t="s">
        <v>94</v>
      </c>
      <c r="C3" s="210" t="s">
        <v>95</v>
      </c>
      <c r="D3" s="91"/>
      <c r="E3" s="91"/>
    </row>
    <row r="4" spans="1:5" s="96" customFormat="1" ht="12.75" customHeight="1">
      <c r="A4" s="92"/>
      <c r="B4" s="211"/>
      <c r="C4" s="211"/>
      <c r="D4" s="91"/>
      <c r="E4" s="91"/>
    </row>
    <row r="5" spans="1:5" s="96" customFormat="1" ht="12.75" customHeight="1">
      <c r="A5" s="147" t="s">
        <v>119</v>
      </c>
      <c r="B5" s="211"/>
      <c r="C5" s="211"/>
      <c r="D5" s="91"/>
      <c r="E5" s="91"/>
    </row>
    <row r="6" spans="1:5" s="96" customFormat="1" ht="22.5" customHeight="1">
      <c r="A6" s="93"/>
      <c r="B6" s="212"/>
      <c r="C6" s="212"/>
      <c r="D6" s="91"/>
      <c r="E6" s="91"/>
    </row>
    <row r="7" spans="1:3" s="96" customFormat="1" ht="12.75">
      <c r="A7" s="94" t="s">
        <v>21</v>
      </c>
      <c r="B7" s="95">
        <v>1.8</v>
      </c>
      <c r="C7" s="95">
        <v>1</v>
      </c>
    </row>
    <row r="8" spans="1:3" s="96" customFormat="1" ht="12.75">
      <c r="A8" s="94" t="s">
        <v>22</v>
      </c>
      <c r="B8" s="97">
        <v>5.3</v>
      </c>
      <c r="C8" s="97">
        <v>1</v>
      </c>
    </row>
    <row r="9" spans="1:3" s="96" customFormat="1" ht="12.75">
      <c r="A9" s="94" t="s">
        <v>24</v>
      </c>
      <c r="B9" s="97">
        <v>1.4</v>
      </c>
      <c r="C9" s="97">
        <v>0.7</v>
      </c>
    </row>
    <row r="10" spans="1:3" s="96" customFormat="1" ht="12.75">
      <c r="A10" s="94" t="s">
        <v>25</v>
      </c>
      <c r="B10" s="97">
        <v>17.4</v>
      </c>
      <c r="C10" s="97">
        <v>0.4</v>
      </c>
    </row>
    <row r="11" spans="1:3" s="96" customFormat="1" ht="25.5">
      <c r="A11" s="94" t="s">
        <v>93</v>
      </c>
      <c r="B11" s="109">
        <v>5.6</v>
      </c>
      <c r="C11" s="109">
        <v>1.1</v>
      </c>
    </row>
    <row r="12" spans="1:3" s="96" customFormat="1" ht="12.75">
      <c r="A12" s="94" t="s">
        <v>26</v>
      </c>
      <c r="B12" s="97">
        <v>11.2</v>
      </c>
      <c r="C12" s="97">
        <v>1.1</v>
      </c>
    </row>
    <row r="13" spans="1:3" s="98" customFormat="1" ht="12.75">
      <c r="A13" s="94" t="s">
        <v>27</v>
      </c>
      <c r="B13" s="97">
        <v>5</v>
      </c>
      <c r="C13" s="97">
        <v>1</v>
      </c>
    </row>
    <row r="14" spans="1:3" s="98" customFormat="1" ht="12.75">
      <c r="A14" s="94" t="s">
        <v>28</v>
      </c>
      <c r="B14" s="97">
        <v>5.6</v>
      </c>
      <c r="C14" s="97">
        <v>0.5</v>
      </c>
    </row>
    <row r="15" spans="1:3" s="96" customFormat="1" ht="12.75">
      <c r="A15" s="94" t="s">
        <v>29</v>
      </c>
      <c r="B15" s="97">
        <v>8.7</v>
      </c>
      <c r="C15" s="97">
        <v>0.7</v>
      </c>
    </row>
    <row r="16" spans="1:3" s="96" customFormat="1" ht="12.75">
      <c r="A16" s="94" t="s">
        <v>23</v>
      </c>
      <c r="B16" s="97">
        <v>8.6</v>
      </c>
      <c r="C16" s="97">
        <v>1.2</v>
      </c>
    </row>
    <row r="17" spans="1:3" s="96" customFormat="1" ht="12.75">
      <c r="A17" s="99" t="s">
        <v>30</v>
      </c>
      <c r="B17" s="100">
        <v>6.3</v>
      </c>
      <c r="C17" s="100">
        <v>0.9</v>
      </c>
    </row>
    <row r="18" spans="1:5" s="96" customFormat="1" ht="11.25" customHeight="1">
      <c r="A18" s="213" t="s">
        <v>50</v>
      </c>
      <c r="B18" s="213"/>
      <c r="C18" s="213"/>
      <c r="D18" s="213"/>
      <c r="E18" s="213"/>
    </row>
    <row r="19" spans="1:5" s="96" customFormat="1" ht="11.25" customHeight="1">
      <c r="A19" s="213"/>
      <c r="B19" s="213"/>
      <c r="C19" s="213"/>
      <c r="D19" s="213"/>
      <c r="E19" s="213"/>
    </row>
    <row r="20" spans="1:5" s="96" customFormat="1" ht="11.25" customHeight="1">
      <c r="A20" s="208" t="s">
        <v>133</v>
      </c>
      <c r="B20" s="208"/>
      <c r="C20" s="208"/>
      <c r="D20" s="208"/>
      <c r="E20" s="208"/>
    </row>
    <row r="21" spans="1:5" ht="12.75">
      <c r="A21" s="208"/>
      <c r="B21" s="208"/>
      <c r="C21" s="208"/>
      <c r="D21" s="208"/>
      <c r="E21" s="208"/>
    </row>
    <row r="22" spans="1:5" ht="12.75">
      <c r="A22" s="208"/>
      <c r="B22" s="208"/>
      <c r="C22" s="208"/>
      <c r="D22" s="208"/>
      <c r="E22" s="208"/>
    </row>
    <row r="23" spans="1:5" ht="12.75" customHeight="1">
      <c r="A23" s="208" t="s">
        <v>72</v>
      </c>
      <c r="B23" s="208"/>
      <c r="C23" s="208"/>
      <c r="D23" s="101"/>
      <c r="E23" s="101"/>
    </row>
    <row r="24" spans="1:5" ht="12.75">
      <c r="A24" s="101"/>
      <c r="B24" s="101"/>
      <c r="C24" s="101"/>
      <c r="D24" s="101"/>
      <c r="E24" s="101"/>
    </row>
    <row r="25" spans="1:5" ht="12.75">
      <c r="A25" s="101"/>
      <c r="B25" s="101"/>
      <c r="C25" s="101"/>
      <c r="D25" s="101"/>
      <c r="E25" s="101"/>
    </row>
  </sheetData>
  <sheetProtection/>
  <mergeCells count="6">
    <mergeCell ref="A23:C23"/>
    <mergeCell ref="A1:E2"/>
    <mergeCell ref="B3:B6"/>
    <mergeCell ref="C3:C6"/>
    <mergeCell ref="A18:E19"/>
    <mergeCell ref="A20:E22"/>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G18"/>
  <sheetViews>
    <sheetView zoomScalePageLayoutView="0" workbookViewId="0" topLeftCell="A1">
      <selection activeCell="A16" sqref="A16:G16"/>
    </sheetView>
  </sheetViews>
  <sheetFormatPr defaultColWidth="11.421875" defaultRowHeight="12.75"/>
  <cols>
    <col min="1" max="1" width="17.7109375" style="0" customWidth="1"/>
    <col min="2" max="2" width="12.7109375" style="0" customWidth="1"/>
    <col min="3" max="3" width="13.28125" style="0" customWidth="1"/>
    <col min="7" max="7" width="13.00390625" style="0" customWidth="1"/>
  </cols>
  <sheetData>
    <row r="1" spans="1:7" ht="12.75">
      <c r="A1" s="214" t="s">
        <v>108</v>
      </c>
      <c r="B1" s="214"/>
      <c r="C1" s="214"/>
      <c r="D1" s="214"/>
      <c r="E1" s="214"/>
      <c r="F1" s="214"/>
      <c r="G1" s="214"/>
    </row>
    <row r="2" spans="1:7" ht="12.75">
      <c r="A2" s="215"/>
      <c r="B2" s="215"/>
      <c r="C2" s="215"/>
      <c r="D2" s="215"/>
      <c r="E2" s="215"/>
      <c r="F2" s="215"/>
      <c r="G2" s="216"/>
    </row>
    <row r="3" spans="1:7" ht="51">
      <c r="A3" s="66"/>
      <c r="B3" s="65" t="s">
        <v>51</v>
      </c>
      <c r="C3" s="65" t="s">
        <v>52</v>
      </c>
      <c r="D3" s="65" t="s">
        <v>53</v>
      </c>
      <c r="E3" s="65" t="s">
        <v>120</v>
      </c>
      <c r="F3" s="65" t="s">
        <v>52</v>
      </c>
      <c r="G3" s="65" t="s">
        <v>53</v>
      </c>
    </row>
    <row r="4" spans="1:7" ht="25.5">
      <c r="A4" s="88" t="s">
        <v>60</v>
      </c>
      <c r="B4" s="67">
        <v>0.03653208797830672</v>
      </c>
      <c r="C4" s="68">
        <v>0.661</v>
      </c>
      <c r="D4" s="70">
        <v>37.7</v>
      </c>
      <c r="E4" s="67">
        <v>0.022218073188946974</v>
      </c>
      <c r="F4" s="68">
        <v>0.613</v>
      </c>
      <c r="G4" s="69">
        <v>76.9</v>
      </c>
    </row>
    <row r="5" spans="1:7" ht="25.5">
      <c r="A5" s="88" t="s">
        <v>61</v>
      </c>
      <c r="B5" s="67">
        <v>0.0012051822838204278</v>
      </c>
      <c r="C5" s="68">
        <v>0.771</v>
      </c>
      <c r="D5" s="70">
        <v>40.4</v>
      </c>
      <c r="E5" s="67">
        <v>0.0014936519790888724</v>
      </c>
      <c r="F5" s="67">
        <v>0.75</v>
      </c>
      <c r="G5" s="70">
        <v>24.8</v>
      </c>
    </row>
    <row r="6" spans="1:7" ht="12.75">
      <c r="A6" s="88" t="s">
        <v>62</v>
      </c>
      <c r="B6" s="67">
        <v>0.6706086170533293</v>
      </c>
      <c r="C6" s="68">
        <v>0.646</v>
      </c>
      <c r="D6" s="70">
        <v>43.3</v>
      </c>
      <c r="E6" s="67">
        <v>0.6637415982076176</v>
      </c>
      <c r="F6" s="67">
        <v>0.711</v>
      </c>
      <c r="G6" s="70">
        <v>48.5</v>
      </c>
    </row>
    <row r="7" spans="1:7" ht="12.75">
      <c r="A7" s="88" t="s">
        <v>63</v>
      </c>
      <c r="B7" s="67">
        <v>0.07416892638344882</v>
      </c>
      <c r="C7" s="68">
        <v>0.63</v>
      </c>
      <c r="D7" s="70">
        <v>49.6</v>
      </c>
      <c r="E7" s="67">
        <v>0.06534727408513816</v>
      </c>
      <c r="F7" s="67">
        <v>0.691</v>
      </c>
      <c r="G7" s="70">
        <v>52.5</v>
      </c>
    </row>
    <row r="8" spans="1:7" ht="12.75">
      <c r="A8" s="88" t="s">
        <v>64</v>
      </c>
      <c r="B8" s="67">
        <v>0.0702771919252787</v>
      </c>
      <c r="C8" s="68">
        <v>0.616</v>
      </c>
      <c r="D8" s="70">
        <v>43.7</v>
      </c>
      <c r="E8" s="67">
        <v>0.08943241224794622</v>
      </c>
      <c r="F8" s="67">
        <v>0.637</v>
      </c>
      <c r="G8" s="70">
        <v>36.6</v>
      </c>
    </row>
    <row r="9" spans="1:7" ht="12.75">
      <c r="A9" s="88" t="s">
        <v>65</v>
      </c>
      <c r="B9" s="67">
        <v>0.010821532590137592</v>
      </c>
      <c r="C9" s="68">
        <v>0.645</v>
      </c>
      <c r="D9" s="70">
        <v>51.1</v>
      </c>
      <c r="E9" s="67">
        <v>0.014189693801344288</v>
      </c>
      <c r="F9" s="67">
        <v>0.513</v>
      </c>
      <c r="G9" s="70">
        <v>38.5</v>
      </c>
    </row>
    <row r="10" spans="1:7" ht="12.75">
      <c r="A10" s="88" t="s">
        <v>66</v>
      </c>
      <c r="B10" s="67">
        <v>0.0097167821633022</v>
      </c>
      <c r="C10" s="68">
        <v>0.589</v>
      </c>
      <c r="D10" s="70">
        <v>43.9</v>
      </c>
      <c r="E10" s="67">
        <v>0.008028379387602688</v>
      </c>
      <c r="F10" s="67">
        <v>0.605</v>
      </c>
      <c r="G10" s="70">
        <v>31</v>
      </c>
    </row>
    <row r="11" spans="1:7" ht="12.75">
      <c r="A11" s="88" t="s">
        <v>67</v>
      </c>
      <c r="B11" s="67">
        <v>0.036632519835291755</v>
      </c>
      <c r="C11" s="68">
        <v>0.686</v>
      </c>
      <c r="D11" s="138">
        <v>42</v>
      </c>
      <c r="E11" s="67">
        <v>0.02501867064973861</v>
      </c>
      <c r="F11" s="67">
        <v>0.657</v>
      </c>
      <c r="G11" s="70">
        <v>69.9</v>
      </c>
    </row>
    <row r="12" spans="1:7" ht="25.5">
      <c r="A12" s="88" t="s">
        <v>68</v>
      </c>
      <c r="B12" s="67">
        <v>0.07421914231194135</v>
      </c>
      <c r="C12" s="68">
        <v>0.694</v>
      </c>
      <c r="D12" s="138">
        <v>43.8</v>
      </c>
      <c r="E12" s="67">
        <v>0.08532486930545183</v>
      </c>
      <c r="F12" s="67">
        <v>0.729</v>
      </c>
      <c r="G12" s="70">
        <v>39.8</v>
      </c>
    </row>
    <row r="13" spans="1:7" ht="12.75">
      <c r="A13" s="88" t="s">
        <v>96</v>
      </c>
      <c r="B13" s="67">
        <v>0.015818017475143116</v>
      </c>
      <c r="C13" s="68">
        <v>0.684</v>
      </c>
      <c r="D13" s="138">
        <v>46.9</v>
      </c>
      <c r="E13" s="67">
        <v>0.02520537714712472</v>
      </c>
      <c r="F13" s="67">
        <v>0.689</v>
      </c>
      <c r="G13" s="70">
        <v>50.3</v>
      </c>
    </row>
    <row r="14" spans="1:7" s="1" customFormat="1" ht="12.75">
      <c r="A14" s="89" t="s">
        <v>59</v>
      </c>
      <c r="B14" s="71">
        <v>1</v>
      </c>
      <c r="C14" s="72">
        <v>0.6484678366978007</v>
      </c>
      <c r="D14" s="139">
        <v>43.706625276932115</v>
      </c>
      <c r="E14" s="71">
        <v>1</v>
      </c>
      <c r="F14" s="72">
        <v>0.6969256908140404</v>
      </c>
      <c r="G14" s="73">
        <v>47.85002003893124</v>
      </c>
    </row>
    <row r="15" spans="1:7" ht="12.75">
      <c r="A15" s="217" t="s">
        <v>121</v>
      </c>
      <c r="B15" s="217"/>
      <c r="C15" s="217"/>
      <c r="D15" s="217"/>
      <c r="E15" s="217"/>
      <c r="F15" s="217"/>
      <c r="G15" s="218"/>
    </row>
    <row r="16" spans="1:7" ht="12.75">
      <c r="A16" s="224" t="s">
        <v>134</v>
      </c>
      <c r="B16" s="224"/>
      <c r="C16" s="224"/>
      <c r="D16" s="224"/>
      <c r="E16" s="224"/>
      <c r="F16" s="224"/>
      <c r="G16" s="224"/>
    </row>
    <row r="17" spans="1:7" ht="12.75">
      <c r="A17" s="219" t="s">
        <v>107</v>
      </c>
      <c r="B17" s="219"/>
      <c r="C17" s="219"/>
      <c r="D17" s="219"/>
      <c r="E17" s="219"/>
      <c r="F17" s="219"/>
      <c r="G17" s="219"/>
    </row>
    <row r="18" spans="1:7" ht="24" customHeight="1">
      <c r="A18" s="220" t="s">
        <v>122</v>
      </c>
      <c r="B18" s="220"/>
      <c r="C18" s="220"/>
      <c r="D18" s="220"/>
      <c r="E18" s="220"/>
      <c r="F18" s="10"/>
      <c r="G18" s="10"/>
    </row>
  </sheetData>
  <sheetProtection/>
  <mergeCells count="5">
    <mergeCell ref="A1:G2"/>
    <mergeCell ref="A15:G15"/>
    <mergeCell ref="A16:G16"/>
    <mergeCell ref="A17:G17"/>
    <mergeCell ref="A18:E18"/>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2"/>
  <sheetViews>
    <sheetView zoomScalePageLayoutView="0" workbookViewId="0" topLeftCell="A1">
      <selection activeCell="A7" sqref="A7:C7"/>
    </sheetView>
  </sheetViews>
  <sheetFormatPr defaultColWidth="11.421875" defaultRowHeight="12.75"/>
  <cols>
    <col min="1" max="1" width="40.421875" style="62" customWidth="1"/>
    <col min="2" max="2" width="20.7109375" style="62" customWidth="1"/>
    <col min="3" max="16384" width="11.421875" style="62" customWidth="1"/>
  </cols>
  <sheetData>
    <row r="1" spans="1:5" ht="30" customHeight="1">
      <c r="A1" s="221" t="s">
        <v>109</v>
      </c>
      <c r="B1" s="221"/>
      <c r="C1" s="221"/>
      <c r="D1" s="115"/>
      <c r="E1" s="115"/>
    </row>
    <row r="2" spans="1:5" ht="15.75" customHeight="1">
      <c r="A2" s="102"/>
      <c r="B2" s="102"/>
      <c r="C2" s="102"/>
      <c r="D2" s="115"/>
      <c r="E2" s="115"/>
    </row>
    <row r="3" spans="1:3" ht="24">
      <c r="A3" s="103" t="s">
        <v>47</v>
      </c>
      <c r="B3" s="140">
        <v>22830</v>
      </c>
      <c r="C3" s="105"/>
    </row>
    <row r="4" spans="1:3" ht="12.75">
      <c r="A4" s="103" t="s">
        <v>46</v>
      </c>
      <c r="B4" s="140">
        <v>549875</v>
      </c>
      <c r="C4" s="105"/>
    </row>
    <row r="5" spans="1:3" ht="12.75">
      <c r="A5" s="103" t="s">
        <v>48</v>
      </c>
      <c r="B5" s="141">
        <f>B3/B4*100</f>
        <v>4.151852693794044</v>
      </c>
      <c r="C5" s="105"/>
    </row>
    <row r="6" spans="1:3" ht="12.75">
      <c r="A6" s="104" t="s">
        <v>110</v>
      </c>
      <c r="B6" s="105"/>
      <c r="C6" s="105"/>
    </row>
    <row r="7" spans="1:4" ht="12.75" customHeight="1">
      <c r="A7" s="192" t="s">
        <v>111</v>
      </c>
      <c r="B7" s="192"/>
      <c r="C7" s="192"/>
      <c r="D7" s="37"/>
    </row>
    <row r="8" spans="1:3" ht="36.75" customHeight="1">
      <c r="A8" s="222" t="s">
        <v>123</v>
      </c>
      <c r="B8" s="223"/>
      <c r="C8" s="223"/>
    </row>
    <row r="11" spans="1:5" ht="15.75">
      <c r="A11" s="116"/>
      <c r="B11" s="117"/>
      <c r="C11" s="117"/>
      <c r="D11" s="117"/>
      <c r="E11" s="117"/>
    </row>
    <row r="12" spans="1:5" ht="12.75">
      <c r="A12" s="117"/>
      <c r="B12" s="117"/>
      <c r="C12" s="117"/>
      <c r="D12" s="117"/>
      <c r="E12" s="117"/>
    </row>
  </sheetData>
  <sheetProtection/>
  <mergeCells count="3">
    <mergeCell ref="A1:C1"/>
    <mergeCell ref="A8:C8"/>
    <mergeCell ref="A7:C7"/>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4"/>
  <sheetViews>
    <sheetView zoomScalePageLayoutView="0" workbookViewId="0" topLeftCell="A1">
      <selection activeCell="A9" sqref="A9"/>
    </sheetView>
  </sheetViews>
  <sheetFormatPr defaultColWidth="11.421875" defaultRowHeight="12.75"/>
  <cols>
    <col min="1" max="1" width="32.00390625" style="0" customWidth="1"/>
    <col min="2" max="3" width="25.8515625" style="0" bestFit="1" customWidth="1"/>
  </cols>
  <sheetData>
    <row r="1" spans="1:5" s="14" customFormat="1" ht="12.75" customHeight="1">
      <c r="A1" s="221" t="s">
        <v>112</v>
      </c>
      <c r="B1" s="221"/>
      <c r="C1" s="221"/>
      <c r="D1" s="13"/>
      <c r="E1" s="13"/>
    </row>
    <row r="2" spans="1:5" s="14" customFormat="1" ht="12.75" customHeight="1">
      <c r="A2" s="221"/>
      <c r="B2" s="221"/>
      <c r="C2" s="221"/>
      <c r="D2" s="13"/>
      <c r="E2" s="13"/>
    </row>
    <row r="3" spans="1:3" ht="36">
      <c r="A3" s="106"/>
      <c r="B3" s="107" t="s">
        <v>44</v>
      </c>
      <c r="C3" s="105"/>
    </row>
    <row r="4" spans="1:3" ht="12.75">
      <c r="A4" s="103" t="s">
        <v>41</v>
      </c>
      <c r="B4" s="108">
        <v>0.784</v>
      </c>
      <c r="C4" s="105"/>
    </row>
    <row r="5" spans="1:3" ht="12.75">
      <c r="A5" s="103" t="s">
        <v>42</v>
      </c>
      <c r="B5" s="108">
        <v>0.748</v>
      </c>
      <c r="C5" s="105"/>
    </row>
    <row r="6" spans="1:3" ht="36">
      <c r="A6" s="103" t="s">
        <v>124</v>
      </c>
      <c r="B6" s="108">
        <v>0.282</v>
      </c>
      <c r="C6" s="105"/>
    </row>
    <row r="7" spans="1:3" ht="12.75">
      <c r="A7" s="189" t="s">
        <v>110</v>
      </c>
      <c r="B7" s="189"/>
      <c r="C7" s="105"/>
    </row>
    <row r="8" spans="1:3" ht="12.75">
      <c r="A8" s="220"/>
      <c r="B8" s="220"/>
      <c r="C8" s="105"/>
    </row>
    <row r="9" spans="1:3" ht="12.75">
      <c r="A9" s="96" t="s">
        <v>135</v>
      </c>
      <c r="B9" s="62"/>
      <c r="C9" s="62"/>
    </row>
    <row r="11" ht="12.75">
      <c r="A11" s="10"/>
    </row>
    <row r="14" ht="12.75">
      <c r="C14" s="42"/>
    </row>
  </sheetData>
  <sheetProtection/>
  <mergeCells count="2">
    <mergeCell ref="A1:C2"/>
    <mergeCell ref="A7:B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C9"/>
  <sheetViews>
    <sheetView zoomScalePageLayoutView="0" workbookViewId="0" topLeftCell="A1">
      <selection activeCell="A4" sqref="A4"/>
    </sheetView>
  </sheetViews>
  <sheetFormatPr defaultColWidth="11.421875" defaultRowHeight="12.75"/>
  <cols>
    <col min="1" max="1" width="33.8515625" style="0" customWidth="1"/>
    <col min="2" max="2" width="22.7109375" style="0" customWidth="1"/>
  </cols>
  <sheetData>
    <row r="1" spans="1:3" ht="12.75" customHeight="1">
      <c r="A1" s="221" t="s">
        <v>113</v>
      </c>
      <c r="B1" s="221"/>
      <c r="C1" s="221"/>
    </row>
    <row r="2" spans="1:3" ht="12.75">
      <c r="A2" s="221"/>
      <c r="B2" s="221"/>
      <c r="C2" s="221"/>
    </row>
    <row r="3" spans="1:3" ht="48">
      <c r="A3" s="106"/>
      <c r="B3" s="107" t="s">
        <v>45</v>
      </c>
      <c r="C3" s="105"/>
    </row>
    <row r="4" spans="1:3" ht="12.75">
      <c r="A4" s="103" t="s">
        <v>125</v>
      </c>
      <c r="B4" s="108">
        <v>0.966</v>
      </c>
      <c r="C4" s="105"/>
    </row>
    <row r="5" spans="1:3" ht="12.75">
      <c r="A5" s="103" t="s">
        <v>126</v>
      </c>
      <c r="B5" s="108">
        <v>0.892</v>
      </c>
      <c r="C5" s="105"/>
    </row>
    <row r="6" spans="1:3" ht="12.75">
      <c r="A6" s="103" t="s">
        <v>43</v>
      </c>
      <c r="B6" s="108">
        <v>0.74</v>
      </c>
      <c r="C6" s="105"/>
    </row>
    <row r="7" spans="1:3" ht="12.75" customHeight="1">
      <c r="A7" s="189" t="s">
        <v>110</v>
      </c>
      <c r="B7" s="189"/>
      <c r="C7" s="105"/>
    </row>
    <row r="8" spans="1:3" ht="12.75">
      <c r="A8" s="220"/>
      <c r="B8" s="220"/>
      <c r="C8" s="105"/>
    </row>
    <row r="9" spans="1:3" ht="12.75">
      <c r="A9" s="96" t="s">
        <v>135</v>
      </c>
      <c r="B9" s="105"/>
      <c r="C9" s="105"/>
    </row>
  </sheetData>
  <sheetProtection/>
  <mergeCells count="2">
    <mergeCell ref="A1:C2"/>
    <mergeCell ref="A7:B8"/>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Emma Davie</dc:creator>
  <cp:keywords/>
  <dc:description/>
  <cp:lastModifiedBy>Eva Baradji</cp:lastModifiedBy>
  <cp:lastPrinted>2014-07-21T14:38:53Z</cp:lastPrinted>
  <dcterms:created xsi:type="dcterms:W3CDTF">2014-05-09T13:45:24Z</dcterms:created>
  <dcterms:modified xsi:type="dcterms:W3CDTF">2017-10-27T09:58:21Z</dcterms:modified>
  <cp:category/>
  <cp:version/>
  <cp:contentType/>
  <cp:contentStatus/>
</cp:coreProperties>
</file>